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6" i="15" l="1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Q363" i="15"/>
  <c r="AP363" i="15"/>
  <c r="AN363" i="15"/>
  <c r="AM363" i="15"/>
  <c r="AL363" i="15"/>
  <c r="AK363" i="15"/>
  <c r="AH363" i="15"/>
  <c r="AG363" i="15"/>
  <c r="AF363" i="15"/>
  <c r="AE363" i="15"/>
  <c r="BA362" i="15"/>
  <c r="AQ362" i="15"/>
  <c r="AP362" i="15"/>
  <c r="AN362" i="15"/>
  <c r="AM362" i="15"/>
  <c r="AL362" i="15"/>
  <c r="AK362" i="15"/>
  <c r="AH362" i="15"/>
  <c r="AG362" i="15"/>
  <c r="AF362" i="15"/>
  <c r="AE362" i="15"/>
  <c r="BA361" i="15"/>
  <c r="AQ361" i="15"/>
  <c r="AP361" i="15"/>
  <c r="AN361" i="15"/>
  <c r="AM361" i="15"/>
  <c r="AL361" i="15"/>
  <c r="AK361" i="15"/>
  <c r="AH361" i="15"/>
  <c r="AG361" i="15"/>
  <c r="AF361" i="15"/>
  <c r="AE361" i="15"/>
  <c r="BA360" i="15"/>
  <c r="AY360" i="15"/>
  <c r="AQ360" i="15"/>
  <c r="AP360" i="15"/>
  <c r="AH360" i="15"/>
  <c r="AG360" i="15"/>
  <c r="AF360" i="15"/>
  <c r="AE360" i="15"/>
  <c r="BA359" i="15"/>
  <c r="AY359" i="15"/>
  <c r="AQ359" i="15"/>
  <c r="AP359" i="15"/>
  <c r="AH359" i="15"/>
  <c r="AG359" i="15"/>
  <c r="AF359" i="15"/>
  <c r="AE359" i="15"/>
  <c r="BA358" i="15"/>
  <c r="AY358" i="15"/>
  <c r="AQ358" i="15"/>
  <c r="AP358" i="15"/>
  <c r="CD357" i="15"/>
  <c r="BA357" i="15"/>
  <c r="AY357" i="15"/>
  <c r="AQ357" i="15"/>
  <c r="AP357" i="15"/>
  <c r="AN357" i="15"/>
  <c r="AM357" i="15"/>
  <c r="AL357" i="15"/>
  <c r="AK357" i="15"/>
  <c r="AV357" i="15" s="1"/>
  <c r="AH357" i="15"/>
  <c r="AG357" i="15"/>
  <c r="AF357" i="15"/>
  <c r="AE357" i="15"/>
  <c r="CD356" i="15"/>
  <c r="BA356" i="15"/>
  <c r="AY356" i="15"/>
  <c r="AQ356" i="15"/>
  <c r="AP356" i="15"/>
  <c r="AN356" i="15"/>
  <c r="AM356" i="15"/>
  <c r="AL356" i="15"/>
  <c r="AK356" i="15"/>
  <c r="AV356" i="15" s="1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A354" i="15"/>
  <c r="AY354" i="15"/>
  <c r="AQ354" i="15"/>
  <c r="AP354" i="15"/>
  <c r="AN354" i="15"/>
  <c r="AM354" i="15"/>
  <c r="AL354" i="15"/>
  <c r="AK354" i="15"/>
  <c r="AH354" i="15"/>
  <c r="AG354" i="15"/>
  <c r="AF354" i="15"/>
  <c r="AE354" i="15"/>
  <c r="BA353" i="15"/>
  <c r="AY353" i="15"/>
  <c r="AQ353" i="15"/>
  <c r="AP353" i="15"/>
  <c r="AN353" i="15"/>
  <c r="AM353" i="15"/>
  <c r="AL353" i="15"/>
  <c r="AK353" i="15"/>
  <c r="AH353" i="15"/>
  <c r="AG353" i="15"/>
  <c r="AF353" i="15"/>
  <c r="AE353" i="15"/>
  <c r="BA352" i="15"/>
  <c r="AY352" i="15"/>
  <c r="AQ352" i="15"/>
  <c r="AP352" i="15"/>
  <c r="AN352" i="15"/>
  <c r="AM352" i="15"/>
  <c r="AL352" i="15"/>
  <c r="AK352" i="15"/>
  <c r="AH352" i="15"/>
  <c r="AG352" i="15"/>
  <c r="AF352" i="15"/>
  <c r="AE352" i="15"/>
  <c r="BC351" i="15"/>
  <c r="BA351" i="15"/>
  <c r="AP351" i="15"/>
  <c r="AN351" i="15"/>
  <c r="AM351" i="15"/>
  <c r="AL351" i="15"/>
  <c r="AQ351" i="15" s="1"/>
  <c r="AK351" i="15"/>
  <c r="AH351" i="15"/>
  <c r="AG351" i="15"/>
  <c r="AF351" i="15"/>
  <c r="AE351" i="15"/>
  <c r="CQ350" i="15"/>
  <c r="CO350" i="15"/>
  <c r="CD350" i="15"/>
  <c r="BC350" i="15"/>
  <c r="BA350" i="15"/>
  <c r="AY350" i="15"/>
  <c r="AV350" i="15"/>
  <c r="AP350" i="15"/>
  <c r="CQ349" i="15"/>
  <c r="CO349" i="15"/>
  <c r="CD349" i="15"/>
  <c r="BC349" i="15"/>
  <c r="BA349" i="15"/>
  <c r="AY349" i="15"/>
  <c r="AV349" i="15"/>
  <c r="AP349" i="15"/>
  <c r="CD348" i="15"/>
  <c r="CC348" i="15"/>
  <c r="BC348" i="15"/>
  <c r="BA348" i="15"/>
  <c r="AY348" i="15"/>
  <c r="AQ348" i="15"/>
  <c r="AP348" i="15"/>
  <c r="AN348" i="15"/>
  <c r="AM348" i="15"/>
  <c r="AL348" i="15"/>
  <c r="AK348" i="15"/>
  <c r="AV348" i="15" s="1"/>
  <c r="AH348" i="15"/>
  <c r="AG348" i="15"/>
  <c r="AF348" i="15"/>
  <c r="AE348" i="15"/>
  <c r="CD347" i="15"/>
  <c r="CC347" i="15"/>
  <c r="BC347" i="15"/>
  <c r="BA347" i="15"/>
  <c r="AQ347" i="15"/>
  <c r="AP347" i="15"/>
  <c r="AN347" i="15"/>
  <c r="AM347" i="15"/>
  <c r="AL347" i="15"/>
  <c r="AK347" i="15"/>
  <c r="AV347" i="15" s="1"/>
  <c r="CD346" i="15"/>
  <c r="CC346" i="15"/>
  <c r="BC346" i="15"/>
  <c r="BA346" i="15"/>
  <c r="AQ346" i="15"/>
  <c r="AP346" i="15"/>
  <c r="AN346" i="15"/>
  <c r="AM346" i="15"/>
  <c r="AL346" i="15"/>
  <c r="AK346" i="15"/>
  <c r="AV346" i="15" s="1"/>
  <c r="CD345" i="15"/>
  <c r="CC345" i="15"/>
  <c r="BC345" i="15"/>
  <c r="BA345" i="15"/>
  <c r="AQ345" i="15"/>
  <c r="AP345" i="15"/>
  <c r="AN345" i="15"/>
  <c r="AM345" i="15"/>
  <c r="AL345" i="15"/>
  <c r="AK345" i="15"/>
  <c r="AV345" i="15" s="1"/>
  <c r="BC344" i="15"/>
  <c r="BA344" i="15"/>
  <c r="AV344" i="15"/>
  <c r="AU344" i="15"/>
  <c r="AQ344" i="15"/>
  <c r="AP344" i="15"/>
  <c r="AN344" i="15"/>
  <c r="AM344" i="15"/>
  <c r="AL344" i="15"/>
  <c r="AK344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C342" i="15"/>
  <c r="BA342" i="15"/>
  <c r="AV342" i="15"/>
  <c r="AU342" i="15"/>
  <c r="AQ342" i="15"/>
  <c r="AP342" i="15"/>
  <c r="AN342" i="15"/>
  <c r="AM342" i="15"/>
  <c r="AL342" i="15"/>
  <c r="AK342" i="15"/>
  <c r="AH342" i="15"/>
  <c r="AG342" i="15"/>
  <c r="AF342" i="15"/>
  <c r="AE342" i="15"/>
  <c r="BC341" i="15"/>
  <c r="BA341" i="15"/>
  <c r="AQ341" i="15"/>
  <c r="AP341" i="15"/>
  <c r="AN341" i="15"/>
  <c r="AM341" i="15"/>
  <c r="AL341" i="15"/>
  <c r="AK341" i="15"/>
  <c r="AV341" i="15" s="1"/>
  <c r="AH341" i="15"/>
  <c r="AG341" i="15"/>
  <c r="AF341" i="15"/>
  <c r="AE341" i="15"/>
  <c r="BF340" i="15"/>
  <c r="BC340" i="15"/>
  <c r="BA340" i="15"/>
  <c r="AV340" i="15"/>
  <c r="AQ340" i="15"/>
  <c r="AP340" i="15"/>
  <c r="AN340" i="15"/>
  <c r="AM340" i="15"/>
  <c r="AL340" i="15"/>
  <c r="AK340" i="15"/>
  <c r="AU340" i="15" s="1"/>
  <c r="AH340" i="15"/>
  <c r="AG340" i="15"/>
  <c r="AF340" i="15"/>
  <c r="AE340" i="15"/>
  <c r="BF339" i="15"/>
  <c r="BC339" i="15"/>
  <c r="BA339" i="15"/>
  <c r="AQ339" i="15"/>
  <c r="AP339" i="15"/>
  <c r="AN339" i="15"/>
  <c r="AM339" i="15"/>
  <c r="AL339" i="15"/>
  <c r="AK339" i="15"/>
  <c r="AV339" i="15" s="1"/>
  <c r="AU339" i="15" s="1"/>
  <c r="AH339" i="15"/>
  <c r="AG339" i="15"/>
  <c r="AF339" i="15"/>
  <c r="AE339" i="15"/>
  <c r="BC338" i="15"/>
  <c r="BF338" i="15" s="1"/>
  <c r="BA338" i="15"/>
  <c r="AQ338" i="15"/>
  <c r="AP338" i="15"/>
  <c r="AN338" i="15"/>
  <c r="AM338" i="15"/>
  <c r="AL338" i="15"/>
  <c r="AK338" i="15"/>
  <c r="AH338" i="15"/>
  <c r="AG338" i="15"/>
  <c r="AF338" i="15"/>
  <c r="AE338" i="15"/>
  <c r="CF337" i="15"/>
  <c r="CD337" i="15"/>
  <c r="CC337" i="15"/>
  <c r="BC337" i="15"/>
  <c r="BF337" i="15" s="1"/>
  <c r="BA337" i="15"/>
  <c r="AQ337" i="15"/>
  <c r="AP337" i="15"/>
  <c r="AN337" i="15"/>
  <c r="AM337" i="15"/>
  <c r="AL337" i="15"/>
  <c r="AK337" i="15"/>
  <c r="AV337" i="15" s="1"/>
  <c r="AH337" i="15"/>
  <c r="AG337" i="15"/>
  <c r="AF337" i="15"/>
  <c r="AE337" i="15"/>
  <c r="CD336" i="15"/>
  <c r="CF336" i="15" s="1"/>
  <c r="CC336" i="15"/>
  <c r="BF336" i="15"/>
  <c r="BC336" i="15"/>
  <c r="BA336" i="15"/>
  <c r="AV336" i="15"/>
  <c r="AQ336" i="15"/>
  <c r="AP336" i="15"/>
  <c r="AN336" i="15"/>
  <c r="AM336" i="15"/>
  <c r="AL336" i="15"/>
  <c r="AK336" i="15"/>
  <c r="AU336" i="15" s="1"/>
  <c r="AH336" i="15"/>
  <c r="AG336" i="15"/>
  <c r="AF336" i="15"/>
  <c r="AE336" i="15"/>
  <c r="CF335" i="15"/>
  <c r="CD335" i="15"/>
  <c r="CC335" i="15"/>
  <c r="BC335" i="15"/>
  <c r="BA335" i="15"/>
  <c r="AQ335" i="15"/>
  <c r="AP335" i="15"/>
  <c r="AN335" i="15"/>
  <c r="AM335" i="15"/>
  <c r="AL335" i="15"/>
  <c r="AK335" i="15"/>
  <c r="AV335" i="15" s="1"/>
  <c r="AH335" i="15"/>
  <c r="AG335" i="15"/>
  <c r="AF335" i="15"/>
  <c r="AE335" i="15"/>
  <c r="CF334" i="15"/>
  <c r="CD334" i="15"/>
  <c r="CC334" i="15"/>
  <c r="BC334" i="15"/>
  <c r="BA334" i="15"/>
  <c r="AV334" i="15"/>
  <c r="AU334" i="15"/>
  <c r="AQ334" i="15"/>
  <c r="AP334" i="15"/>
  <c r="AN334" i="15"/>
  <c r="AM334" i="15"/>
  <c r="AL334" i="15"/>
  <c r="AK334" i="15"/>
  <c r="AH334" i="15"/>
  <c r="AG334" i="15"/>
  <c r="AF334" i="15"/>
  <c r="AE334" i="15"/>
  <c r="CR333" i="15"/>
  <c r="CQ333" i="15"/>
  <c r="CO333" i="15"/>
  <c r="CL333" i="15"/>
  <c r="CK333" i="15"/>
  <c r="CI333" i="15"/>
  <c r="CF333" i="15"/>
  <c r="CD333" i="15"/>
  <c r="CC333" i="15"/>
  <c r="BC333" i="15"/>
  <c r="BA333" i="15"/>
  <c r="AY333" i="15"/>
  <c r="AV333" i="15"/>
  <c r="AU333" i="15"/>
  <c r="AQ333" i="15"/>
  <c r="AP333" i="15"/>
  <c r="AN333" i="15"/>
  <c r="AM333" i="15"/>
  <c r="AL333" i="15"/>
  <c r="AK333" i="15"/>
  <c r="AH333" i="15"/>
  <c r="AG333" i="15"/>
  <c r="AF333" i="15"/>
  <c r="AE333" i="15"/>
  <c r="CR332" i="15"/>
  <c r="CQ332" i="15"/>
  <c r="CO332" i="15"/>
  <c r="CL332" i="15"/>
  <c r="CK332" i="15"/>
  <c r="CI332" i="15"/>
  <c r="CF332" i="15"/>
  <c r="CD332" i="15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U331" i="15" s="1"/>
  <c r="AH331" i="15"/>
  <c r="AG331" i="15"/>
  <c r="AF331" i="15"/>
  <c r="AE331" i="15"/>
  <c r="CR330" i="15"/>
  <c r="CQ330" i="15"/>
  <c r="CO330" i="15"/>
  <c r="CL330" i="15"/>
  <c r="CK330" i="15"/>
  <c r="CI330" i="15"/>
  <c r="CD330" i="15"/>
  <c r="CF330" i="15" s="1"/>
  <c r="CC330" i="15"/>
  <c r="BC330" i="15"/>
  <c r="BA330" i="15"/>
  <c r="AY330" i="15"/>
  <c r="AQ330" i="15"/>
  <c r="AP330" i="15"/>
  <c r="AN330" i="15"/>
  <c r="AM330" i="15"/>
  <c r="AL330" i="15"/>
  <c r="AK330" i="15"/>
  <c r="AV330" i="15" s="1"/>
  <c r="AU330" i="15" s="1"/>
  <c r="AH330" i="15"/>
  <c r="AG330" i="15"/>
  <c r="AF330" i="15"/>
  <c r="AE330" i="15"/>
  <c r="CR329" i="15"/>
  <c r="CQ329" i="15"/>
  <c r="CO329" i="15"/>
  <c r="CL329" i="15"/>
  <c r="CK329" i="15"/>
  <c r="CI329" i="15"/>
  <c r="CD329" i="15"/>
  <c r="CF329" i="15" s="1"/>
  <c r="CC329" i="15"/>
  <c r="BC329" i="15"/>
  <c r="BA329" i="15"/>
  <c r="AY329" i="15"/>
  <c r="AQ329" i="15"/>
  <c r="AP329" i="15"/>
  <c r="AN329" i="15"/>
  <c r="AM329" i="15"/>
  <c r="AL329" i="15"/>
  <c r="AK329" i="15"/>
  <c r="AV329" i="15" s="1"/>
  <c r="AU329" i="15" s="1"/>
  <c r="AH329" i="15"/>
  <c r="AG329" i="15"/>
  <c r="AF329" i="15"/>
  <c r="AE329" i="15"/>
  <c r="CR328" i="15"/>
  <c r="CQ328" i="15"/>
  <c r="CO328" i="15"/>
  <c r="CL328" i="15"/>
  <c r="CK328" i="15"/>
  <c r="CI328" i="15"/>
  <c r="BC328" i="15"/>
  <c r="BA328" i="15"/>
  <c r="AY328" i="15"/>
  <c r="AV328" i="15"/>
  <c r="AU328" i="15" s="1"/>
  <c r="AQ328" i="15"/>
  <c r="AP328" i="15"/>
  <c r="AN328" i="15"/>
  <c r="AM328" i="15"/>
  <c r="AL328" i="15"/>
  <c r="AK328" i="15"/>
  <c r="AH328" i="15"/>
  <c r="AG328" i="15"/>
  <c r="AF328" i="15"/>
  <c r="AE328" i="15"/>
  <c r="BA327" i="15"/>
  <c r="AY327" i="15"/>
  <c r="AQ327" i="15"/>
  <c r="AP327" i="15"/>
  <c r="AN327" i="15"/>
  <c r="AM327" i="15"/>
  <c r="AL327" i="15"/>
  <c r="AK327" i="15"/>
  <c r="AH327" i="15"/>
  <c r="AG327" i="15"/>
  <c r="AF327" i="15"/>
  <c r="AE327" i="15"/>
  <c r="BA326" i="15"/>
  <c r="AY326" i="15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V322" i="15"/>
  <c r="AQ322" i="15"/>
  <c r="AP322" i="15"/>
  <c r="AN322" i="15"/>
  <c r="AM322" i="15"/>
  <c r="BB322" i="15" s="1"/>
  <c r="BC322" i="15" s="1"/>
  <c r="AL322" i="15"/>
  <c r="AK322" i="15"/>
  <c r="AU322" i="15" s="1"/>
  <c r="AH322" i="15"/>
  <c r="AG322" i="15"/>
  <c r="AF322" i="15"/>
  <c r="AE322" i="15"/>
  <c r="CW321" i="15"/>
  <c r="CU321" i="15"/>
  <c r="BA321" i="15"/>
  <c r="AQ321" i="15"/>
  <c r="AP321" i="15"/>
  <c r="AN321" i="15"/>
  <c r="AM321" i="15"/>
  <c r="AL321" i="15"/>
  <c r="AK321" i="15"/>
  <c r="AV321" i="15" s="1"/>
  <c r="AH321" i="15"/>
  <c r="AG321" i="15"/>
  <c r="AF321" i="15"/>
  <c r="AE321" i="15"/>
  <c r="CW320" i="15"/>
  <c r="CU320" i="15"/>
  <c r="BB320" i="15"/>
  <c r="BC320" i="15" s="1"/>
  <c r="BA320" i="15"/>
  <c r="AV320" i="15"/>
  <c r="AU320" i="15"/>
  <c r="AQ320" i="15"/>
  <c r="AP320" i="15"/>
  <c r="AN320" i="15"/>
  <c r="AM320" i="15"/>
  <c r="AL320" i="15"/>
  <c r="AK320" i="15"/>
  <c r="AH320" i="15"/>
  <c r="AG320" i="15"/>
  <c r="AF320" i="15"/>
  <c r="AE320" i="15"/>
  <c r="CW319" i="15"/>
  <c r="CU319" i="15"/>
  <c r="BA319" i="15"/>
  <c r="AV319" i="15"/>
  <c r="AU319" i="15"/>
  <c r="AQ319" i="15"/>
  <c r="AP319" i="15"/>
  <c r="AN319" i="15"/>
  <c r="AM319" i="15"/>
  <c r="BB319" i="15" s="1"/>
  <c r="BC319" i="15" s="1"/>
  <c r="AL319" i="15"/>
  <c r="AK319" i="15"/>
  <c r="AH319" i="15"/>
  <c r="AG319" i="15"/>
  <c r="AF319" i="15"/>
  <c r="AE319" i="15"/>
  <c r="CO318" i="15"/>
  <c r="CK318" i="15"/>
  <c r="BC318" i="15"/>
  <c r="BF318" i="15" s="1"/>
  <c r="BA318" i="15"/>
  <c r="AV318" i="15"/>
  <c r="AU318" i="15" s="1"/>
  <c r="AQ318" i="15"/>
  <c r="AP318" i="15"/>
  <c r="AH318" i="15"/>
  <c r="AG318" i="15"/>
  <c r="AF318" i="15"/>
  <c r="AE318" i="15"/>
  <c r="CO317" i="15"/>
  <c r="CK317" i="15"/>
  <c r="BF317" i="15"/>
  <c r="BC317" i="15"/>
  <c r="BA317" i="15"/>
  <c r="AV317" i="15"/>
  <c r="AU317" i="15"/>
  <c r="AQ317" i="15"/>
  <c r="AP317" i="15"/>
  <c r="AH317" i="15"/>
  <c r="AG317" i="15"/>
  <c r="AF317" i="15"/>
  <c r="AE317" i="15"/>
  <c r="CO316" i="15"/>
  <c r="CK316" i="15"/>
  <c r="BC316" i="15"/>
  <c r="BF316" i="15" s="1"/>
  <c r="BA316" i="15"/>
  <c r="AV316" i="15"/>
  <c r="AU316" i="15" s="1"/>
  <c r="AQ316" i="15"/>
  <c r="AP316" i="15"/>
  <c r="AH316" i="15"/>
  <c r="AG316" i="15"/>
  <c r="AF316" i="15"/>
  <c r="AE316" i="15"/>
  <c r="CO315" i="15"/>
  <c r="CK315" i="15"/>
  <c r="BF315" i="15"/>
  <c r="BC315" i="15"/>
  <c r="BA315" i="15"/>
  <c r="AV315" i="15"/>
  <c r="AU315" i="15"/>
  <c r="AQ315" i="15"/>
  <c r="AP315" i="15"/>
  <c r="AH315" i="15"/>
  <c r="AG315" i="15"/>
  <c r="AF315" i="15"/>
  <c r="AE315" i="15"/>
  <c r="CQ314" i="15"/>
  <c r="CO314" i="15"/>
  <c r="CK314" i="15"/>
  <c r="CI314" i="15"/>
  <c r="BA314" i="15"/>
  <c r="AY314" i="15"/>
  <c r="AQ314" i="15"/>
  <c r="AP314" i="15"/>
  <c r="AN314" i="15"/>
  <c r="AM314" i="15"/>
  <c r="AL314" i="15"/>
  <c r="AK314" i="15"/>
  <c r="AV314" i="15" s="1"/>
  <c r="CQ313" i="15"/>
  <c r="CO313" i="15"/>
  <c r="CK313" i="15"/>
  <c r="CI313" i="15"/>
  <c r="BA313" i="15"/>
  <c r="AY313" i="15" s="1"/>
  <c r="AQ313" i="15"/>
  <c r="AP313" i="15"/>
  <c r="AN313" i="15"/>
  <c r="AM313" i="15"/>
  <c r="AL313" i="15"/>
  <c r="AK313" i="15"/>
  <c r="AV313" i="15" s="1"/>
  <c r="AU313" i="15" s="1"/>
  <c r="AH313" i="15"/>
  <c r="AG313" i="15"/>
  <c r="AF313" i="15"/>
  <c r="AE313" i="15"/>
  <c r="CD312" i="15"/>
  <c r="BC312" i="15"/>
  <c r="BA312" i="15"/>
  <c r="AQ312" i="15"/>
  <c r="AP312" i="15"/>
  <c r="AN312" i="15"/>
  <c r="AM312" i="15"/>
  <c r="AL312" i="15"/>
  <c r="AK312" i="15"/>
  <c r="AV312" i="15" s="1"/>
  <c r="CD311" i="15"/>
  <c r="BC311" i="15"/>
  <c r="BA311" i="15"/>
  <c r="AV311" i="15"/>
  <c r="AQ311" i="15"/>
  <c r="AP311" i="15"/>
  <c r="AN311" i="15"/>
  <c r="AM311" i="15"/>
  <c r="AL311" i="15"/>
  <c r="AK311" i="15"/>
  <c r="BC310" i="15"/>
  <c r="BA310" i="15"/>
  <c r="AQ310" i="15"/>
  <c r="AP310" i="15"/>
  <c r="AN310" i="15"/>
  <c r="AM310" i="15"/>
  <c r="AL310" i="15"/>
  <c r="AK310" i="15"/>
  <c r="AV310" i="15" s="1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A307" i="15"/>
  <c r="AT307" i="15"/>
  <c r="BF307" i="15" s="1"/>
  <c r="AQ307" i="15"/>
  <c r="AP307" i="15"/>
  <c r="AN307" i="15"/>
  <c r="AM307" i="15"/>
  <c r="AL307" i="15"/>
  <c r="AK307" i="15"/>
  <c r="AH307" i="15"/>
  <c r="AG307" i="15"/>
  <c r="AF307" i="15"/>
  <c r="AE307" i="15"/>
  <c r="BA306" i="15"/>
  <c r="AQ306" i="15"/>
  <c r="AP306" i="15"/>
  <c r="AN306" i="15"/>
  <c r="AM306" i="15"/>
  <c r="AL306" i="15"/>
  <c r="AK306" i="15"/>
  <c r="AT306" i="15" s="1"/>
  <c r="BF306" i="15" s="1"/>
  <c r="AH306" i="15"/>
  <c r="AG306" i="15"/>
  <c r="AF306" i="15"/>
  <c r="AE306" i="15"/>
  <c r="BA305" i="15"/>
  <c r="AQ305" i="15"/>
  <c r="AP305" i="15"/>
  <c r="AN305" i="15"/>
  <c r="AM305" i="15"/>
  <c r="AL305" i="15"/>
  <c r="AK305" i="15"/>
  <c r="AT305" i="15" s="1"/>
  <c r="BF305" i="15" s="1"/>
  <c r="AH305" i="15"/>
  <c r="AG305" i="15"/>
  <c r="AF305" i="15"/>
  <c r="AE305" i="15"/>
  <c r="BC304" i="15"/>
  <c r="BF304" i="15" s="1"/>
  <c r="BA304" i="15"/>
  <c r="AV304" i="15"/>
  <c r="AQ304" i="15"/>
  <c r="AP304" i="15"/>
  <c r="AN304" i="15"/>
  <c r="AM304" i="15"/>
  <c r="AL304" i="15"/>
  <c r="AK304" i="15"/>
  <c r="AU304" i="15" s="1"/>
  <c r="AH304" i="15"/>
  <c r="AG304" i="15"/>
  <c r="AF304" i="15"/>
  <c r="AE304" i="15"/>
  <c r="BF303" i="15"/>
  <c r="BC303" i="15"/>
  <c r="BA303" i="15"/>
  <c r="AV303" i="15"/>
  <c r="AU303" i="15"/>
  <c r="AQ303" i="15"/>
  <c r="AP303" i="15"/>
  <c r="AN303" i="15"/>
  <c r="AM303" i="15"/>
  <c r="AL303" i="15"/>
  <c r="AK303" i="15"/>
  <c r="AH303" i="15"/>
  <c r="AG303" i="15"/>
  <c r="AF303" i="15"/>
  <c r="AE303" i="15"/>
  <c r="BC302" i="15"/>
  <c r="BF302" i="15" s="1"/>
  <c r="BA302" i="15"/>
  <c r="AV302" i="15"/>
  <c r="AU302" i="15"/>
  <c r="AQ302" i="15"/>
  <c r="AP302" i="15"/>
  <c r="AN302" i="15"/>
  <c r="AM302" i="15"/>
  <c r="AL302" i="15"/>
  <c r="AK302" i="15"/>
  <c r="AH302" i="15"/>
  <c r="AG302" i="15"/>
  <c r="AF302" i="15"/>
  <c r="AE302" i="15"/>
  <c r="BF301" i="15"/>
  <c r="BC301" i="15"/>
  <c r="BA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F300" i="15"/>
  <c r="BA300" i="15"/>
  <c r="AQ300" i="15"/>
  <c r="AP300" i="15"/>
  <c r="AN300" i="15"/>
  <c r="AM300" i="15"/>
  <c r="AL300" i="15"/>
  <c r="AK300" i="15"/>
  <c r="AV300" i="15" s="1"/>
  <c r="AU300" i="15" s="1"/>
  <c r="AH300" i="15"/>
  <c r="AG300" i="15"/>
  <c r="AF300" i="15"/>
  <c r="AE300" i="15"/>
  <c r="BF299" i="15"/>
  <c r="BA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V298" i="15"/>
  <c r="AP298" i="15"/>
  <c r="AN298" i="15"/>
  <c r="AM298" i="15"/>
  <c r="AL298" i="15"/>
  <c r="AK298" i="15"/>
  <c r="AH298" i="15"/>
  <c r="AG298" i="15"/>
  <c r="AF298" i="15"/>
  <c r="AE298" i="15"/>
  <c r="BC297" i="15"/>
  <c r="BA297" i="15"/>
  <c r="AY297" i="15"/>
  <c r="AP297" i="15"/>
  <c r="AN297" i="15"/>
  <c r="AM297" i="15"/>
  <c r="AL297" i="15"/>
  <c r="AK297" i="15"/>
  <c r="AV297" i="15" s="1"/>
  <c r="AH297" i="15"/>
  <c r="AG297" i="15"/>
  <c r="AF297" i="15"/>
  <c r="AE297" i="15"/>
  <c r="BC296" i="15"/>
  <c r="BA296" i="15"/>
  <c r="AY296" i="15"/>
  <c r="AQ296" i="15"/>
  <c r="AP296" i="15"/>
  <c r="AN296" i="15"/>
  <c r="AM296" i="15"/>
  <c r="AL296" i="15"/>
  <c r="AK296" i="15"/>
  <c r="AV296" i="15" s="1"/>
  <c r="AH296" i="15"/>
  <c r="AG296" i="15"/>
  <c r="AF296" i="15"/>
  <c r="AE296" i="15"/>
  <c r="BC295" i="15"/>
  <c r="BA295" i="15"/>
  <c r="AY295" i="15"/>
  <c r="AQ295" i="15"/>
  <c r="AP295" i="15"/>
  <c r="AN295" i="15"/>
  <c r="AM295" i="15"/>
  <c r="AL295" i="15"/>
  <c r="AK295" i="15"/>
  <c r="AV295" i="15" s="1"/>
  <c r="AH295" i="15"/>
  <c r="AG295" i="15"/>
  <c r="AF295" i="15"/>
  <c r="AE295" i="15"/>
  <c r="CD294" i="15"/>
  <c r="CC294" i="15"/>
  <c r="BA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D293" i="15"/>
  <c r="CC293" i="15"/>
  <c r="BA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D292" i="15"/>
  <c r="CC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Q289" i="15"/>
  <c r="CO289" i="15"/>
  <c r="CK289" i="15"/>
  <c r="CI289" i="15"/>
  <c r="BA289" i="15"/>
  <c r="AY289" i="15" s="1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 s="1"/>
  <c r="AQ288" i="15"/>
  <c r="AP288" i="15"/>
  <c r="AN288" i="15"/>
  <c r="AM288" i="15"/>
  <c r="AL288" i="15"/>
  <c r="AK288" i="15"/>
  <c r="AH288" i="15"/>
  <c r="AG288" i="15"/>
  <c r="AF288" i="15"/>
  <c r="AE288" i="15"/>
  <c r="CW287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 s="1"/>
  <c r="AQ286" i="15"/>
  <c r="AP286" i="15"/>
  <c r="AN286" i="15"/>
  <c r="AM286" i="15"/>
  <c r="AL286" i="15"/>
  <c r="AK286" i="15"/>
  <c r="AH286" i="15"/>
  <c r="AG286" i="15"/>
  <c r="AF286" i="15"/>
  <c r="AE286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Q284" i="15"/>
  <c r="CO284" i="15"/>
  <c r="CK284" i="15"/>
  <c r="CI284" i="15"/>
  <c r="BA284" i="15"/>
  <c r="AY284" i="15" s="1"/>
  <c r="AQ284" i="15"/>
  <c r="AP284" i="15"/>
  <c r="AN284" i="15"/>
  <c r="AM284" i="15"/>
  <c r="AL284" i="15"/>
  <c r="AK284" i="15"/>
  <c r="AH284" i="15"/>
  <c r="AG284" i="15"/>
  <c r="AF284" i="15"/>
  <c r="AE284" i="15"/>
  <c r="CW283" i="15"/>
  <c r="CQ283" i="15"/>
  <c r="CO283" i="15"/>
  <c r="CK283" i="15"/>
  <c r="CI283" i="15"/>
  <c r="BA283" i="15"/>
  <c r="AY283" i="15"/>
  <c r="AQ283" i="15"/>
  <c r="AP283" i="15"/>
  <c r="AN283" i="15"/>
  <c r="AM283" i="15"/>
  <c r="AL283" i="15"/>
  <c r="AK283" i="15"/>
  <c r="AH283" i="15"/>
  <c r="AG283" i="15"/>
  <c r="AF283" i="15"/>
  <c r="AE283" i="15"/>
  <c r="CW282" i="15"/>
  <c r="CQ282" i="15"/>
  <c r="CO282" i="15"/>
  <c r="CK282" i="15"/>
  <c r="CI282" i="15"/>
  <c r="BA282" i="15"/>
  <c r="AY282" i="15"/>
  <c r="AQ282" i="15"/>
  <c r="AP282" i="15"/>
  <c r="AN282" i="15"/>
  <c r="AM282" i="15"/>
  <c r="AL282" i="15"/>
  <c r="AK282" i="15"/>
  <c r="AH282" i="15"/>
  <c r="AG282" i="15"/>
  <c r="AF282" i="15"/>
  <c r="AE282" i="15"/>
  <c r="CD281" i="15"/>
  <c r="CC281" i="15"/>
  <c r="BA281" i="15"/>
  <c r="AV281" i="15"/>
  <c r="AU281" i="15"/>
  <c r="AQ281" i="15"/>
  <c r="AP281" i="15"/>
  <c r="AH281" i="15"/>
  <c r="AG281" i="15"/>
  <c r="AF281" i="15"/>
  <c r="AE281" i="15"/>
  <c r="CD280" i="15"/>
  <c r="CC280" i="15"/>
  <c r="BA280" i="15"/>
  <c r="AV280" i="15"/>
  <c r="AU280" i="15" s="1"/>
  <c r="AQ280" i="15"/>
  <c r="AP280" i="15"/>
  <c r="AH280" i="15"/>
  <c r="AG280" i="15"/>
  <c r="AF280" i="15"/>
  <c r="AE280" i="15"/>
  <c r="BA279" i="15"/>
  <c r="AV279" i="15"/>
  <c r="AU279" i="15" s="1"/>
  <c r="AQ279" i="15"/>
  <c r="AP279" i="15"/>
  <c r="AH279" i="15"/>
  <c r="AG279" i="15"/>
  <c r="AF279" i="15"/>
  <c r="AE279" i="15"/>
  <c r="BA278" i="15"/>
  <c r="AQ278" i="15"/>
  <c r="AP278" i="15"/>
  <c r="AN278" i="15"/>
  <c r="AM278" i="15"/>
  <c r="AL278" i="15"/>
  <c r="AK278" i="15"/>
  <c r="AV278" i="15" s="1"/>
  <c r="BA277" i="15"/>
  <c r="AQ277" i="15"/>
  <c r="AP277" i="15"/>
  <c r="AN277" i="15"/>
  <c r="AM277" i="15"/>
  <c r="AL277" i="15"/>
  <c r="AK277" i="15"/>
  <c r="AV277" i="15" s="1"/>
  <c r="AU277" i="15" s="1"/>
  <c r="BC276" i="15"/>
  <c r="BF276" i="15" s="1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F275" i="15"/>
  <c r="CD275" i="15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D273" i="15"/>
  <c r="CF273" i="15" s="1"/>
  <c r="CC273" i="15"/>
  <c r="BC273" i="15"/>
  <c r="BF273" i="15" s="1"/>
  <c r="BA273" i="15"/>
  <c r="AY273" i="15"/>
  <c r="AQ273" i="15"/>
  <c r="AP273" i="15"/>
  <c r="AN273" i="15"/>
  <c r="AM273" i="15"/>
  <c r="AL273" i="15"/>
  <c r="AK273" i="15"/>
  <c r="AH273" i="15"/>
  <c r="AG273" i="15"/>
  <c r="AF273" i="15"/>
  <c r="AE273" i="15"/>
  <c r="CF272" i="15"/>
  <c r="CD272" i="15"/>
  <c r="CC272" i="15"/>
  <c r="BC272" i="15"/>
  <c r="BF272" i="15" s="1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D271" i="15"/>
  <c r="CF271" i="15" s="1"/>
  <c r="CC271" i="15"/>
  <c r="BF271" i="15"/>
  <c r="BC271" i="15"/>
  <c r="BA271" i="15"/>
  <c r="AY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U270" i="15"/>
  <c r="AQ270" i="15"/>
  <c r="AP270" i="15"/>
  <c r="AN270" i="15"/>
  <c r="AM270" i="15"/>
  <c r="AL270" i="15"/>
  <c r="AK270" i="15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U266" i="15" s="1"/>
  <c r="AH266" i="15"/>
  <c r="AG266" i="15"/>
  <c r="AF266" i="15"/>
  <c r="AE266" i="15"/>
  <c r="CR265" i="15"/>
  <c r="CQ265" i="15"/>
  <c r="CO265" i="15"/>
  <c r="CL265" i="15"/>
  <c r="CK265" i="15"/>
  <c r="CI265" i="15"/>
  <c r="BA265" i="15"/>
  <c r="AY265" i="15"/>
  <c r="AQ265" i="15"/>
  <c r="AP265" i="15"/>
  <c r="AN265" i="15"/>
  <c r="AM265" i="15"/>
  <c r="AL265" i="15"/>
  <c r="AK265" i="15"/>
  <c r="AV265" i="15" s="1"/>
  <c r="AH265" i="15"/>
  <c r="AG265" i="15"/>
  <c r="AF265" i="15"/>
  <c r="AE265" i="15"/>
  <c r="CR264" i="15"/>
  <c r="CQ264" i="15"/>
  <c r="CO264" i="15"/>
  <c r="CL264" i="15"/>
  <c r="CK264" i="15"/>
  <c r="CI264" i="15"/>
  <c r="BA264" i="15"/>
  <c r="AY264" i="15"/>
  <c r="AQ264" i="15"/>
  <c r="AP264" i="15"/>
  <c r="AN264" i="15"/>
  <c r="AM264" i="15"/>
  <c r="AL264" i="15"/>
  <c r="AK264" i="15"/>
  <c r="AV264" i="15" s="1"/>
  <c r="AH264" i="15"/>
  <c r="AG264" i="15"/>
  <c r="AF264" i="15"/>
  <c r="AE264" i="15"/>
  <c r="CR263" i="15"/>
  <c r="CQ263" i="15"/>
  <c r="CO263" i="15"/>
  <c r="CL263" i="15"/>
  <c r="CK263" i="15"/>
  <c r="CI263" i="15"/>
  <c r="BA263" i="15"/>
  <c r="AY263" i="15"/>
  <c r="AQ263" i="15"/>
  <c r="AP263" i="15"/>
  <c r="AN263" i="15"/>
  <c r="AM263" i="15"/>
  <c r="AL263" i="15"/>
  <c r="AK263" i="15"/>
  <c r="AV263" i="15" s="1"/>
  <c r="AH263" i="15"/>
  <c r="AG263" i="15"/>
  <c r="AF263" i="15"/>
  <c r="AE263" i="15"/>
  <c r="CW262" i="15"/>
  <c r="CU262" i="15"/>
  <c r="CQ262" i="15"/>
  <c r="CO262" i="15"/>
  <c r="CK262" i="15"/>
  <c r="CI262" i="15"/>
  <c r="BA262" i="15"/>
  <c r="AY262" i="15"/>
  <c r="AQ262" i="15"/>
  <c r="AP262" i="15"/>
  <c r="AN262" i="15"/>
  <c r="AM262" i="15"/>
  <c r="AL262" i="15"/>
  <c r="AK262" i="15"/>
  <c r="AH262" i="15"/>
  <c r="AG262" i="15"/>
  <c r="AF262" i="15"/>
  <c r="AE262" i="15"/>
  <c r="CW261" i="15"/>
  <c r="CU261" i="15"/>
  <c r="CQ261" i="15"/>
  <c r="CO261" i="15"/>
  <c r="CK261" i="15"/>
  <c r="CI261" i="15"/>
  <c r="BA261" i="15"/>
  <c r="AY261" i="15"/>
  <c r="AQ261" i="15"/>
  <c r="AP261" i="15"/>
  <c r="AN261" i="15"/>
  <c r="AM261" i="15"/>
  <c r="AL261" i="15"/>
  <c r="AK261" i="15"/>
  <c r="AH261" i="15"/>
  <c r="AG261" i="15"/>
  <c r="AF261" i="15"/>
  <c r="AE261" i="15"/>
  <c r="CW260" i="15"/>
  <c r="CU260" i="15"/>
  <c r="CQ260" i="15"/>
  <c r="CO260" i="15"/>
  <c r="CK260" i="15"/>
  <c r="CI260" i="15"/>
  <c r="BA260" i="15"/>
  <c r="AY260" i="15"/>
  <c r="AQ260" i="15"/>
  <c r="AP260" i="15"/>
  <c r="AN260" i="15"/>
  <c r="AM260" i="15"/>
  <c r="AL260" i="15"/>
  <c r="AK260" i="15"/>
  <c r="AH260" i="15"/>
  <c r="AG260" i="15"/>
  <c r="AF260" i="15"/>
  <c r="AE260" i="15"/>
  <c r="CQ259" i="15"/>
  <c r="CO259" i="15"/>
  <c r="CK259" i="15"/>
  <c r="CD259" i="15"/>
  <c r="BF259" i="15"/>
  <c r="BC259" i="15"/>
  <c r="BA259" i="15"/>
  <c r="AY259" i="15"/>
  <c r="AV259" i="15"/>
  <c r="AQ259" i="15"/>
  <c r="AP259" i="15"/>
  <c r="AN259" i="15"/>
  <c r="AM259" i="15"/>
  <c r="AL259" i="15"/>
  <c r="AK259" i="15"/>
  <c r="AH259" i="15"/>
  <c r="AG259" i="15"/>
  <c r="AF259" i="15"/>
  <c r="AE259" i="15"/>
  <c r="CQ258" i="15"/>
  <c r="CO258" i="15"/>
  <c r="CD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Q257" i="15"/>
  <c r="CO257" i="15"/>
  <c r="CD257" i="15"/>
  <c r="BF257" i="15"/>
  <c r="BC257" i="15"/>
  <c r="BA257" i="15"/>
  <c r="AY257" i="15"/>
  <c r="AV257" i="15"/>
  <c r="AQ257" i="15"/>
  <c r="AP257" i="15"/>
  <c r="AN257" i="15"/>
  <c r="AM257" i="15"/>
  <c r="AL257" i="15"/>
  <c r="AK257" i="15"/>
  <c r="AH257" i="15"/>
  <c r="AG257" i="15"/>
  <c r="AF257" i="15"/>
  <c r="AE257" i="15"/>
  <c r="CQ256" i="15"/>
  <c r="CO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Q255" i="15"/>
  <c r="CO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V254" i="15"/>
  <c r="AQ254" i="15"/>
  <c r="AP254" i="15"/>
  <c r="AN254" i="15"/>
  <c r="AM254" i="15"/>
  <c r="AL254" i="15"/>
  <c r="AK254" i="15"/>
  <c r="AH254" i="15"/>
  <c r="AG254" i="15"/>
  <c r="AF254" i="15"/>
  <c r="AE254" i="15"/>
  <c r="CF253" i="15"/>
  <c r="CD253" i="15"/>
  <c r="BF253" i="15"/>
  <c r="BC253" i="15"/>
  <c r="BA253" i="15"/>
  <c r="AY253" i="15"/>
  <c r="AV253" i="15"/>
  <c r="AQ253" i="15"/>
  <c r="AP253" i="15"/>
  <c r="AN253" i="15"/>
  <c r="AM253" i="15"/>
  <c r="AL253" i="15"/>
  <c r="AK253" i="15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F251" i="15"/>
  <c r="CD251" i="15"/>
  <c r="BC251" i="15"/>
  <c r="BF251" i="15" s="1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F250" i="15"/>
  <c r="CD250" i="15"/>
  <c r="BF250" i="15"/>
  <c r="BC250" i="15"/>
  <c r="BA250" i="15"/>
  <c r="AY250" i="15"/>
  <c r="AV250" i="15"/>
  <c r="AQ250" i="15"/>
  <c r="AP250" i="15"/>
  <c r="AN250" i="15"/>
  <c r="AM250" i="15"/>
  <c r="AL250" i="15"/>
  <c r="AK250" i="15"/>
  <c r="AH250" i="15"/>
  <c r="AG250" i="15"/>
  <c r="AF250" i="15"/>
  <c r="AE250" i="15"/>
  <c r="CF249" i="15"/>
  <c r="CD249" i="15"/>
  <c r="BF249" i="15"/>
  <c r="BC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R248" i="15"/>
  <c r="CO248" i="15"/>
  <c r="CL248" i="15"/>
  <c r="CK248" i="15"/>
  <c r="BA248" i="15"/>
  <c r="AY248" i="15"/>
  <c r="AV248" i="15"/>
  <c r="AU248" i="15" s="1"/>
  <c r="AQ248" i="15"/>
  <c r="AP248" i="15"/>
  <c r="AN248" i="15"/>
  <c r="AM248" i="15"/>
  <c r="AL248" i="15"/>
  <c r="AK248" i="15"/>
  <c r="AH248" i="15"/>
  <c r="AG248" i="15"/>
  <c r="AF248" i="15"/>
  <c r="AE248" i="15"/>
  <c r="CQ247" i="15"/>
  <c r="CQ248" i="15" s="1"/>
  <c r="CO247" i="15"/>
  <c r="CL247" i="15"/>
  <c r="CK247" i="15"/>
  <c r="CI247" i="15"/>
  <c r="CI248" i="15" s="1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R246" i="15"/>
  <c r="CO246" i="15"/>
  <c r="CL246" i="15"/>
  <c r="CI246" i="15"/>
  <c r="BA246" i="15"/>
  <c r="AY246" i="15"/>
  <c r="AQ246" i="15"/>
  <c r="AP246" i="15"/>
  <c r="AN246" i="15"/>
  <c r="AM246" i="15"/>
  <c r="AL246" i="15"/>
  <c r="AK246" i="15"/>
  <c r="AV246" i="15" s="1"/>
  <c r="BB246" i="15" s="1"/>
  <c r="AH246" i="15"/>
  <c r="AG246" i="15"/>
  <c r="AF246" i="15"/>
  <c r="AE246" i="15"/>
  <c r="CQ245" i="15"/>
  <c r="CQ246" i="15" s="1"/>
  <c r="CO245" i="15"/>
  <c r="CL245" i="15"/>
  <c r="CK245" i="15"/>
  <c r="CK246" i="15" s="1"/>
  <c r="CI245" i="15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R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X243" i="15"/>
  <c r="CW243" i="15"/>
  <c r="CU243" i="15"/>
  <c r="CR243" i="15"/>
  <c r="CO243" i="15"/>
  <c r="BA243" i="15"/>
  <c r="AY243" i="15"/>
  <c r="AQ243" i="15"/>
  <c r="AP243" i="15"/>
  <c r="AN243" i="15"/>
  <c r="AM243" i="15"/>
  <c r="AL243" i="15"/>
  <c r="AK243" i="15"/>
  <c r="AV243" i="15" s="1"/>
  <c r="BB243" i="15" s="1"/>
  <c r="AH243" i="15"/>
  <c r="AG243" i="15"/>
  <c r="AF243" i="15"/>
  <c r="AE243" i="15"/>
  <c r="CX242" i="15"/>
  <c r="CW242" i="15"/>
  <c r="CU242" i="15"/>
  <c r="CR242" i="15"/>
  <c r="CQ242" i="15"/>
  <c r="CK242" i="15"/>
  <c r="CK243" i="15" s="1"/>
  <c r="CK244" i="15" s="1"/>
  <c r="CI242" i="15"/>
  <c r="CI243" i="15" s="1"/>
  <c r="CI244" i="15" s="1"/>
  <c r="BA242" i="15"/>
  <c r="AY242" i="15"/>
  <c r="AV242" i="15"/>
  <c r="AU242" i="15"/>
  <c r="AQ242" i="15"/>
  <c r="AP242" i="15"/>
  <c r="AN242" i="15"/>
  <c r="AM242" i="15"/>
  <c r="BB242" i="15" s="1"/>
  <c r="AL242" i="15"/>
  <c r="AK242" i="15"/>
  <c r="AH242" i="15"/>
  <c r="AG242" i="15"/>
  <c r="AF242" i="15"/>
  <c r="AE242" i="15"/>
  <c r="CX241" i="15"/>
  <c r="CW241" i="15"/>
  <c r="CU241" i="15"/>
  <c r="CQ241" i="15"/>
  <c r="CO241" i="15"/>
  <c r="CO242" i="15" s="1"/>
  <c r="CL241" i="15"/>
  <c r="CL244" i="15" s="1"/>
  <c r="CK241" i="15"/>
  <c r="CI241" i="15"/>
  <c r="BA241" i="15"/>
  <c r="AY241" i="15"/>
  <c r="AV241" i="15"/>
  <c r="AU241" i="15" s="1"/>
  <c r="AQ241" i="15"/>
  <c r="AP241" i="15"/>
  <c r="AN241" i="15"/>
  <c r="AM241" i="15"/>
  <c r="AL241" i="15"/>
  <c r="AK241" i="15"/>
  <c r="AH241" i="15"/>
  <c r="AG241" i="15"/>
  <c r="AF241" i="15"/>
  <c r="AE241" i="15"/>
  <c r="CW240" i="15"/>
  <c r="CU240" i="15"/>
  <c r="CK240" i="15"/>
  <c r="BA240" i="15"/>
  <c r="AY240" i="15"/>
  <c r="AV240" i="15"/>
  <c r="AU240" i="15"/>
  <c r="AQ240" i="15"/>
  <c r="AP240" i="15"/>
  <c r="AN240" i="15"/>
  <c r="AM240" i="15"/>
  <c r="BB240" i="15" s="1"/>
  <c r="AL240" i="15"/>
  <c r="AK240" i="15"/>
  <c r="AH240" i="15"/>
  <c r="AG240" i="15"/>
  <c r="AF240" i="15"/>
  <c r="AE240" i="15"/>
  <c r="CU239" i="15"/>
  <c r="CK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W239" i="15" s="1"/>
  <c r="CU238" i="15"/>
  <c r="CQ238" i="15"/>
  <c r="CQ239" i="15" s="1"/>
  <c r="CO238" i="15"/>
  <c r="CO239" i="15" s="1"/>
  <c r="CK238" i="15"/>
  <c r="BA238" i="15"/>
  <c r="AY238" i="15"/>
  <c r="AQ238" i="15"/>
  <c r="AP238" i="15"/>
  <c r="AN238" i="15"/>
  <c r="AM238" i="15"/>
  <c r="AL238" i="15"/>
  <c r="AK238" i="15"/>
  <c r="AV238" i="15" s="1"/>
  <c r="BB238" i="15" s="1"/>
  <c r="AH238" i="15"/>
  <c r="AG238" i="15"/>
  <c r="AF238" i="15"/>
  <c r="AE238" i="15"/>
  <c r="CO237" i="15"/>
  <c r="CK237" i="15"/>
  <c r="BA237" i="15"/>
  <c r="AY237" i="15"/>
  <c r="AV237" i="15"/>
  <c r="BB237" i="15" s="1"/>
  <c r="AQ237" i="15"/>
  <c r="AP237" i="15"/>
  <c r="AN237" i="15"/>
  <c r="AM237" i="15"/>
  <c r="AL237" i="15"/>
  <c r="AK237" i="15"/>
  <c r="AH237" i="15"/>
  <c r="AG237" i="15"/>
  <c r="AF237" i="15"/>
  <c r="AE237" i="15"/>
  <c r="CW236" i="15"/>
  <c r="CW237" i="15" s="1"/>
  <c r="CU236" i="15"/>
  <c r="CU237" i="15" s="1"/>
  <c r="CQ236" i="15"/>
  <c r="CQ237" i="15" s="1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CW235" i="15"/>
  <c r="CW234" i="15" s="1"/>
  <c r="CU235" i="15"/>
  <c r="CU233" i="15" s="1"/>
  <c r="CQ235" i="15"/>
  <c r="CQ233" i="15" s="1"/>
  <c r="CO235" i="15"/>
  <c r="CK235" i="15"/>
  <c r="CI235" i="15"/>
  <c r="CI240" i="15" s="1"/>
  <c r="BA235" i="15"/>
  <c r="AY235" i="15"/>
  <c r="AQ235" i="15"/>
  <c r="AP235" i="15"/>
  <c r="AN235" i="15"/>
  <c r="AM235" i="15"/>
  <c r="AL235" i="15"/>
  <c r="AK235" i="15"/>
  <c r="AV235" i="15" s="1"/>
  <c r="BB235" i="15" s="1"/>
  <c r="AH235" i="15"/>
  <c r="AG235" i="15"/>
  <c r="AF235" i="15"/>
  <c r="AE235" i="15"/>
  <c r="CQ234" i="15"/>
  <c r="CO234" i="15"/>
  <c r="CK234" i="15"/>
  <c r="BA234" i="15"/>
  <c r="AY234" i="15"/>
  <c r="AQ234" i="15"/>
  <c r="AP234" i="15"/>
  <c r="AN234" i="15"/>
  <c r="AM234" i="15"/>
  <c r="AL234" i="15"/>
  <c r="AK234" i="15"/>
  <c r="AV234" i="15" s="1"/>
  <c r="BB234" i="15" s="1"/>
  <c r="AH234" i="15"/>
  <c r="AG234" i="15"/>
  <c r="AF234" i="15"/>
  <c r="AE234" i="15"/>
  <c r="CW233" i="15"/>
  <c r="CO233" i="15"/>
  <c r="CK233" i="15"/>
  <c r="BA233" i="15"/>
  <c r="AY233" i="15"/>
  <c r="AV233" i="15"/>
  <c r="AU233" i="15" s="1"/>
  <c r="AQ233" i="15"/>
  <c r="AP233" i="15"/>
  <c r="AN233" i="15"/>
  <c r="AM233" i="15"/>
  <c r="AL233" i="15"/>
  <c r="AK233" i="15"/>
  <c r="AH233" i="15"/>
  <c r="AG233" i="15"/>
  <c r="AF233" i="15"/>
  <c r="AE233" i="15"/>
  <c r="BA232" i="15"/>
  <c r="AY232" i="15"/>
  <c r="AQ232" i="15"/>
  <c r="AP232" i="15"/>
  <c r="AN232" i="15"/>
  <c r="AM232" i="15"/>
  <c r="AL232" i="15"/>
  <c r="AK232" i="15"/>
  <c r="BA231" i="15"/>
  <c r="AY231" i="15"/>
  <c r="AQ231" i="15"/>
  <c r="AP231" i="15"/>
  <c r="AN231" i="15"/>
  <c r="AM231" i="15"/>
  <c r="AL231" i="15"/>
  <c r="AK231" i="15"/>
  <c r="BA230" i="15"/>
  <c r="AY230" i="15"/>
  <c r="AQ230" i="15"/>
  <c r="AP230" i="15"/>
  <c r="AN230" i="15"/>
  <c r="AM230" i="15"/>
  <c r="AL230" i="15"/>
  <c r="AK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CL228" i="15"/>
  <c r="CD228" i="15"/>
  <c r="CC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H228" i="15"/>
  <c r="AG228" i="15"/>
  <c r="AF228" i="15"/>
  <c r="AE228" i="15"/>
  <c r="CR227" i="15"/>
  <c r="CO227" i="15"/>
  <c r="CL227" i="15"/>
  <c r="CD227" i="15"/>
  <c r="CC227" i="15"/>
  <c r="BC227" i="15"/>
  <c r="BF227" i="15" s="1"/>
  <c r="BA227" i="15"/>
  <c r="AY227" i="15"/>
  <c r="AV227" i="15"/>
  <c r="AU227" i="15"/>
  <c r="AQ227" i="15"/>
  <c r="AP227" i="15"/>
  <c r="AN227" i="15"/>
  <c r="AM227" i="15"/>
  <c r="AL227" i="15"/>
  <c r="AK227" i="15"/>
  <c r="AH227" i="15"/>
  <c r="AG227" i="15"/>
  <c r="AF227" i="15"/>
  <c r="AE227" i="15"/>
  <c r="CR226" i="15"/>
  <c r="CO226" i="15"/>
  <c r="CL226" i="15"/>
  <c r="CD226" i="15"/>
  <c r="CC226" i="15"/>
  <c r="BF226" i="15"/>
  <c r="BC226" i="15"/>
  <c r="BA226" i="15"/>
  <c r="AY226" i="15"/>
  <c r="AV226" i="15"/>
  <c r="AU226" i="15" s="1"/>
  <c r="AQ226" i="15"/>
  <c r="AP226" i="15"/>
  <c r="AN226" i="15"/>
  <c r="AM226" i="15"/>
  <c r="AL226" i="15"/>
  <c r="AK226" i="15"/>
  <c r="AH226" i="15"/>
  <c r="AG226" i="15"/>
  <c r="AF226" i="15"/>
  <c r="AE226" i="15"/>
  <c r="CR225" i="15"/>
  <c r="CO225" i="15"/>
  <c r="BF225" i="15"/>
  <c r="BC225" i="15"/>
  <c r="BA225" i="15"/>
  <c r="AY225" i="15"/>
  <c r="AV225" i="15"/>
  <c r="AU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V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V220" i="15" s="1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V219" i="15" s="1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A210" i="15"/>
  <c r="AY210" i="15"/>
  <c r="AQ210" i="15"/>
  <c r="AP210" i="15"/>
  <c r="AN210" i="15"/>
  <c r="AM210" i="15"/>
  <c r="AL210" i="15"/>
  <c r="AK210" i="15"/>
  <c r="AH210" i="15"/>
  <c r="AG210" i="15"/>
  <c r="AF210" i="15"/>
  <c r="AE210" i="15"/>
  <c r="BF209" i="15"/>
  <c r="BA209" i="15"/>
  <c r="AY209" i="15"/>
  <c r="AQ209" i="15"/>
  <c r="AP209" i="15"/>
  <c r="AN209" i="15"/>
  <c r="AM209" i="15"/>
  <c r="AL209" i="15"/>
  <c r="AK209" i="15"/>
  <c r="AH209" i="15"/>
  <c r="AG209" i="15"/>
  <c r="AF209" i="15"/>
  <c r="AE209" i="15"/>
  <c r="BF208" i="15"/>
  <c r="BA208" i="15"/>
  <c r="AY208" i="15"/>
  <c r="AQ208" i="15"/>
  <c r="AP208" i="15"/>
  <c r="AN208" i="15"/>
  <c r="AM208" i="15"/>
  <c r="AL208" i="15"/>
  <c r="AK208" i="15"/>
  <c r="AV208" i="15" s="1"/>
  <c r="AH208" i="15"/>
  <c r="AG208" i="15"/>
  <c r="AF208" i="15"/>
  <c r="AE208" i="15"/>
  <c r="BE207" i="15"/>
  <c r="BD207" i="15"/>
  <c r="BC207" i="15"/>
  <c r="BB207" i="15"/>
  <c r="AZ207" i="15"/>
  <c r="AT207" i="15"/>
  <c r="AR207" i="15"/>
  <c r="AP207" i="15"/>
  <c r="AO207" i="15"/>
  <c r="AN207" i="15"/>
  <c r="AM207" i="15"/>
  <c r="AL207" i="15"/>
  <c r="AK207" i="15"/>
  <c r="AH207" i="15"/>
  <c r="AG207" i="15"/>
  <c r="AF207" i="15"/>
  <c r="AE207" i="15"/>
  <c r="BE206" i="15"/>
  <c r="BD206" i="15"/>
  <c r="BC206" i="15"/>
  <c r="BB206" i="15"/>
  <c r="AZ206" i="15"/>
  <c r="AT206" i="15"/>
  <c r="BF206" i="15" s="1"/>
  <c r="AR206" i="15"/>
  <c r="AP206" i="15"/>
  <c r="AO206" i="15"/>
  <c r="AN206" i="15"/>
  <c r="AM206" i="15"/>
  <c r="AL206" i="15"/>
  <c r="AK206" i="15"/>
  <c r="AH206" i="15"/>
  <c r="AG206" i="15"/>
  <c r="AF206" i="15"/>
  <c r="AE206" i="15"/>
  <c r="BE205" i="15"/>
  <c r="BD205" i="15"/>
  <c r="BC205" i="15"/>
  <c r="BB205" i="15"/>
  <c r="AZ205" i="15"/>
  <c r="AT205" i="15"/>
  <c r="BF205" i="15" s="1"/>
  <c r="AR205" i="15"/>
  <c r="AP205" i="15"/>
  <c r="AO205" i="15"/>
  <c r="AN205" i="15"/>
  <c r="AM205" i="15"/>
  <c r="AL205" i="15"/>
  <c r="AK205" i="15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K204" i="15"/>
  <c r="AT204" i="15" s="1"/>
  <c r="BF204" i="15" s="1"/>
  <c r="AH204" i="15"/>
  <c r="AG204" i="15"/>
  <c r="AF204" i="15"/>
  <c r="AE204" i="15"/>
  <c r="BE203" i="15"/>
  <c r="BB203" i="15"/>
  <c r="AZ203" i="15"/>
  <c r="AT203" i="15"/>
  <c r="AR203" i="15"/>
  <c r="AO203" i="15"/>
  <c r="AN203" i="15"/>
  <c r="AM203" i="15"/>
  <c r="BC203" i="15" s="1"/>
  <c r="AL203" i="15"/>
  <c r="AS203" i="15" s="1"/>
  <c r="AK203" i="15"/>
  <c r="AH203" i="15"/>
  <c r="AG203" i="15"/>
  <c r="AF203" i="15"/>
  <c r="AE203" i="15"/>
  <c r="BE202" i="15"/>
  <c r="AZ202" i="15"/>
  <c r="AT202" i="15"/>
  <c r="AR202" i="15"/>
  <c r="AO202" i="15"/>
  <c r="AN202" i="15"/>
  <c r="AM202" i="15"/>
  <c r="AQ202" i="15" s="1"/>
  <c r="AL202" i="15"/>
  <c r="AS202" i="15" s="1"/>
  <c r="AK202" i="15"/>
  <c r="AH202" i="15"/>
  <c r="AG202" i="15"/>
  <c r="AF202" i="15"/>
  <c r="AE202" i="15"/>
  <c r="BE201" i="15"/>
  <c r="BC201" i="15"/>
  <c r="BB201" i="15"/>
  <c r="AZ201" i="15"/>
  <c r="AT201" i="15"/>
  <c r="BF201" i="15" s="1"/>
  <c r="AR201" i="15"/>
  <c r="AO201" i="15"/>
  <c r="AN201" i="15"/>
  <c r="AM201" i="15"/>
  <c r="AL201" i="15"/>
  <c r="AP201" i="15" s="1"/>
  <c r="AK201" i="15"/>
  <c r="AH201" i="15"/>
  <c r="AG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U199" i="15"/>
  <c r="CO199" i="15"/>
  <c r="CI199" i="15"/>
  <c r="BE199" i="15"/>
  <c r="BD199" i="15"/>
  <c r="BC199" i="15"/>
  <c r="BF199" i="15" s="1"/>
  <c r="BB199" i="15"/>
  <c r="AY199" i="15"/>
  <c r="AT199" i="15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O198" i="15"/>
  <c r="AN198" i="15"/>
  <c r="AQ198" i="15" s="1"/>
  <c r="AM198" i="15"/>
  <c r="AL198" i="15"/>
  <c r="AP198" i="15" s="1"/>
  <c r="AK198" i="15"/>
  <c r="AI198" i="15"/>
  <c r="AH198" i="15"/>
  <c r="AF198" i="15"/>
  <c r="AE198" i="15"/>
  <c r="CW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Q197" i="15"/>
  <c r="AO197" i="15"/>
  <c r="AN197" i="15"/>
  <c r="AM197" i="15"/>
  <c r="AP197" i="15" s="1"/>
  <c r="AL197" i="15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AS196" i="15"/>
  <c r="AR196" i="15"/>
  <c r="AO196" i="15"/>
  <c r="AN196" i="15"/>
  <c r="AM196" i="15"/>
  <c r="AL196" i="15"/>
  <c r="AQ196" i="15" s="1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BF195" i="15" s="1"/>
  <c r="AY195" i="15"/>
  <c r="AT195" i="15"/>
  <c r="AS195" i="15"/>
  <c r="AR195" i="15"/>
  <c r="AO195" i="15"/>
  <c r="AN195" i="15"/>
  <c r="AM195" i="15"/>
  <c r="AL195" i="15"/>
  <c r="AK195" i="15"/>
  <c r="AI195" i="15"/>
  <c r="AH195" i="15"/>
  <c r="AF195" i="15"/>
  <c r="AE195" i="15"/>
  <c r="CW194" i="15"/>
  <c r="CU194" i="15"/>
  <c r="CO194" i="15"/>
  <c r="CI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BF193" i="15" s="1"/>
  <c r="AY193" i="15"/>
  <c r="AT193" i="15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K192" i="15"/>
  <c r="AI192" i="15"/>
  <c r="AH192" i="15"/>
  <c r="AF192" i="15"/>
  <c r="AE192" i="15"/>
  <c r="CW191" i="15"/>
  <c r="CO191" i="15"/>
  <c r="CI191" i="15"/>
  <c r="BE191" i="15"/>
  <c r="BD191" i="15"/>
  <c r="BC191" i="15"/>
  <c r="BB191" i="15"/>
  <c r="AY191" i="15"/>
  <c r="AT191" i="15"/>
  <c r="AS191" i="15"/>
  <c r="AR191" i="15"/>
  <c r="AO191" i="15"/>
  <c r="AN191" i="15"/>
  <c r="AM191" i="15"/>
  <c r="AL191" i="15"/>
  <c r="AQ191" i="15" s="1"/>
  <c r="AK191" i="15"/>
  <c r="AI191" i="15"/>
  <c r="AH191" i="15"/>
  <c r="AF191" i="15"/>
  <c r="AE191" i="15"/>
  <c r="CW190" i="15"/>
  <c r="CO190" i="15"/>
  <c r="CI190" i="15"/>
  <c r="BE190" i="15"/>
  <c r="BD190" i="15"/>
  <c r="BC190" i="15"/>
  <c r="BF190" i="15" s="1"/>
  <c r="BB190" i="15"/>
  <c r="AY190" i="15"/>
  <c r="AT190" i="15"/>
  <c r="AS190" i="15"/>
  <c r="AR190" i="15"/>
  <c r="AO190" i="15"/>
  <c r="AN190" i="15"/>
  <c r="AM190" i="15"/>
  <c r="AL190" i="15"/>
  <c r="AK190" i="15"/>
  <c r="AI190" i="15"/>
  <c r="AH190" i="15"/>
  <c r="AF190" i="15"/>
  <c r="AE190" i="15"/>
  <c r="CW189" i="15"/>
  <c r="CU189" i="15"/>
  <c r="CO189" i="15"/>
  <c r="CI189" i="15"/>
  <c r="BE189" i="15"/>
  <c r="BD189" i="15"/>
  <c r="BC189" i="15"/>
  <c r="BF189" i="15" s="1"/>
  <c r="BB189" i="15"/>
  <c r="AY189" i="15"/>
  <c r="AT189" i="15"/>
  <c r="AS189" i="15"/>
  <c r="AR189" i="15"/>
  <c r="AO189" i="15"/>
  <c r="AN189" i="15"/>
  <c r="AM189" i="15"/>
  <c r="AL189" i="15"/>
  <c r="AQ189" i="15" s="1"/>
  <c r="AK189" i="15"/>
  <c r="AI189" i="15"/>
  <c r="AH189" i="15"/>
  <c r="AF189" i="15"/>
  <c r="AE189" i="15"/>
  <c r="CQ188" i="15"/>
  <c r="CO188" i="15"/>
  <c r="CK188" i="15"/>
  <c r="CI188" i="15"/>
  <c r="CD188" i="15"/>
  <c r="CC188" i="15"/>
  <c r="BA188" i="15"/>
  <c r="AQ188" i="15"/>
  <c r="AP188" i="15"/>
  <c r="AN188" i="15"/>
  <c r="AM188" i="15"/>
  <c r="AL188" i="15"/>
  <c r="AK188" i="15"/>
  <c r="AH188" i="15"/>
  <c r="AG188" i="15"/>
  <c r="AF188" i="15"/>
  <c r="AE188" i="15"/>
  <c r="CQ187" i="15"/>
  <c r="CO187" i="15"/>
  <c r="CK187" i="15"/>
  <c r="CI187" i="15"/>
  <c r="CD187" i="15"/>
  <c r="CC187" i="15"/>
  <c r="BA187" i="15"/>
  <c r="AQ187" i="15"/>
  <c r="AP187" i="15"/>
  <c r="AN187" i="15"/>
  <c r="AM187" i="15"/>
  <c r="AL187" i="15"/>
  <c r="AK187" i="15"/>
  <c r="AH187" i="15"/>
  <c r="AG187" i="15"/>
  <c r="AF187" i="15"/>
  <c r="AE187" i="15"/>
  <c r="CQ186" i="15"/>
  <c r="CO186" i="15"/>
  <c r="CK186" i="15"/>
  <c r="CI186" i="15"/>
  <c r="CD186" i="15"/>
  <c r="CC186" i="15"/>
  <c r="BA186" i="15"/>
  <c r="AQ186" i="15"/>
  <c r="AP186" i="15"/>
  <c r="AN186" i="15"/>
  <c r="AM186" i="15"/>
  <c r="AL186" i="15"/>
  <c r="AK186" i="15"/>
  <c r="AH186" i="15"/>
  <c r="AG186" i="15"/>
  <c r="AF186" i="15"/>
  <c r="AE186" i="15"/>
  <c r="CQ185" i="15"/>
  <c r="CO185" i="15"/>
  <c r="BF185" i="15"/>
  <c r="BC185" i="15"/>
  <c r="BA185" i="15"/>
  <c r="AQ185" i="15"/>
  <c r="AP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BF183" i="15"/>
  <c r="BC183" i="15"/>
  <c r="BA183" i="15"/>
  <c r="AQ183" i="15"/>
  <c r="AP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V182" i="15"/>
  <c r="AU182" i="15" s="1"/>
  <c r="AQ182" i="15"/>
  <c r="AP182" i="15"/>
  <c r="AN182" i="15"/>
  <c r="AM182" i="15"/>
  <c r="AL182" i="15"/>
  <c r="AK182" i="15"/>
  <c r="AH182" i="15"/>
  <c r="AG182" i="15"/>
  <c r="AF182" i="15"/>
  <c r="AE182" i="15"/>
  <c r="CQ181" i="15"/>
  <c r="CO181" i="15"/>
  <c r="BF181" i="15"/>
  <c r="BC181" i="15"/>
  <c r="BA181" i="15"/>
  <c r="AQ181" i="15"/>
  <c r="AP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F173" i="15"/>
  <c r="BC173" i="15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 s="1"/>
  <c r="AV172" i="15"/>
  <c r="AU172" i="15" s="1"/>
  <c r="AQ172" i="15"/>
  <c r="AP172" i="15"/>
  <c r="AN172" i="15"/>
  <c r="AM172" i="15"/>
  <c r="AL172" i="15"/>
  <c r="AK172" i="15"/>
  <c r="BF171" i="15"/>
  <c r="BA171" i="15"/>
  <c r="AY171" i="15" s="1"/>
  <c r="AU171" i="15"/>
  <c r="AQ171" i="15"/>
  <c r="AP171" i="15"/>
  <c r="AN171" i="15"/>
  <c r="AM171" i="15"/>
  <c r="AL171" i="15"/>
  <c r="AK171" i="15"/>
  <c r="AV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U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H153" i="15"/>
  <c r="AG153" i="15"/>
  <c r="AF153" i="15"/>
  <c r="AE153" i="15"/>
  <c r="CD152" i="15"/>
  <c r="CC152" i="15"/>
  <c r="BC152" i="15"/>
  <c r="BF152" i="15" s="1"/>
  <c r="BA152" i="15"/>
  <c r="AY152" i="15"/>
  <c r="AU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V149" i="15"/>
  <c r="AU149" i="15"/>
  <c r="AQ149" i="15"/>
  <c r="AP149" i="15"/>
  <c r="AN149" i="15"/>
  <c r="AM149" i="15"/>
  <c r="AL149" i="15"/>
  <c r="AK149" i="15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V146" i="15"/>
  <c r="AU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V143" i="15"/>
  <c r="AQ143" i="15"/>
  <c r="AP143" i="15"/>
  <c r="AN143" i="15"/>
  <c r="AM143" i="15"/>
  <c r="AL143" i="15"/>
  <c r="AK143" i="15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S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S135" i="15" s="1"/>
  <c r="AK135" i="15"/>
  <c r="AT135" i="15" s="1"/>
  <c r="BF135" i="15" s="1"/>
  <c r="CQ134" i="15"/>
  <c r="BE134" i="15"/>
  <c r="BD134" i="15"/>
  <c r="BC134" i="15"/>
  <c r="BB134" i="15"/>
  <c r="AZ134" i="15"/>
  <c r="AR134" i="15"/>
  <c r="AP134" i="15"/>
  <c r="AO134" i="15"/>
  <c r="AN134" i="15"/>
  <c r="AM134" i="15"/>
  <c r="AL134" i="15"/>
  <c r="AS134" i="15" s="1"/>
  <c r="AK134" i="15"/>
  <c r="AT134" i="15" s="1"/>
  <c r="BF134" i="15" s="1"/>
  <c r="CW133" i="15"/>
  <c r="CQ133" i="15"/>
  <c r="BF133" i="15"/>
  <c r="BE133" i="15"/>
  <c r="BD133" i="15"/>
  <c r="BC133" i="15"/>
  <c r="BB133" i="15"/>
  <c r="AZ133" i="15"/>
  <c r="AT133" i="15"/>
  <c r="AR133" i="15"/>
  <c r="AP133" i="15"/>
  <c r="AO133" i="15"/>
  <c r="AN133" i="15"/>
  <c r="AM133" i="15"/>
  <c r="AL133" i="15"/>
  <c r="AS133" i="15" s="1"/>
  <c r="AK133" i="15"/>
  <c r="CQ132" i="15"/>
  <c r="BE132" i="15"/>
  <c r="BD132" i="15"/>
  <c r="BC132" i="15"/>
  <c r="BB132" i="15"/>
  <c r="AZ132" i="15"/>
  <c r="AR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V130" i="15"/>
  <c r="AU130" i="15" s="1"/>
  <c r="AQ130" i="15"/>
  <c r="AP130" i="15"/>
  <c r="AN130" i="15"/>
  <c r="AM130" i="15"/>
  <c r="AL130" i="15"/>
  <c r="AK130" i="15"/>
  <c r="AH130" i="15"/>
  <c r="AG130" i="15"/>
  <c r="AF130" i="15"/>
  <c r="AE130" i="15"/>
  <c r="CW129" i="15"/>
  <c r="CQ129" i="15"/>
  <c r="CK129" i="15"/>
  <c r="BA129" i="15"/>
  <c r="AV129" i="15"/>
  <c r="BB129" i="15" s="1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Q128" i="15"/>
  <c r="AP128" i="15"/>
  <c r="AN128" i="15"/>
  <c r="AM128" i="15"/>
  <c r="AL128" i="15"/>
  <c r="AK128" i="15"/>
  <c r="AV128" i="15" s="1"/>
  <c r="BB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Q118" i="15"/>
  <c r="AP118" i="15"/>
  <c r="AN118" i="15"/>
  <c r="AM118" i="15"/>
  <c r="AL118" i="15"/>
  <c r="AK118" i="15"/>
  <c r="AV118" i="15" s="1"/>
  <c r="AU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C115" i="15"/>
  <c r="BF115" i="15" s="1"/>
  <c r="BA115" i="15"/>
  <c r="AV115" i="15"/>
  <c r="AU115" i="15" s="1"/>
  <c r="AQ115" i="15"/>
  <c r="AP115" i="15"/>
  <c r="AN115" i="15"/>
  <c r="AM115" i="15"/>
  <c r="AL115" i="15"/>
  <c r="AK115" i="15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CW107" i="15"/>
  <c r="BE107" i="15"/>
  <c r="BD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R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S100" i="15"/>
  <c r="AR100" i="15"/>
  <c r="AO100" i="15"/>
  <c r="AN100" i="15"/>
  <c r="AM100" i="15"/>
  <c r="BB100" i="15" s="1"/>
  <c r="AL100" i="15"/>
  <c r="AP100" i="15" s="1"/>
  <c r="AK100" i="15"/>
  <c r="AT100" i="15" s="1"/>
  <c r="BE99" i="15"/>
  <c r="BD99" i="15"/>
  <c r="BC99" i="15"/>
  <c r="AZ99" i="15"/>
  <c r="AS99" i="15"/>
  <c r="AR99" i="15"/>
  <c r="AO99" i="15"/>
  <c r="AN99" i="15"/>
  <c r="AP99" i="15" s="1"/>
  <c r="AM99" i="15"/>
  <c r="BB99" i="15" s="1"/>
  <c r="AL99" i="15"/>
  <c r="AK99" i="15"/>
  <c r="AT99" i="15" s="1"/>
  <c r="BE98" i="15"/>
  <c r="BD98" i="15"/>
  <c r="AZ98" i="15"/>
  <c r="AR98" i="15"/>
  <c r="AO98" i="15"/>
  <c r="AN98" i="15"/>
  <c r="AM98" i="15"/>
  <c r="AP98" i="15" s="1"/>
  <c r="AL98" i="15"/>
  <c r="AS98" i="15" s="1"/>
  <c r="AK98" i="15"/>
  <c r="AT98" i="15" s="1"/>
  <c r="BE97" i="15"/>
  <c r="BD97" i="15"/>
  <c r="BC97" i="15"/>
  <c r="AZ97" i="15"/>
  <c r="AR97" i="15"/>
  <c r="AP97" i="15"/>
  <c r="AO97" i="15"/>
  <c r="AN97" i="15"/>
  <c r="AM97" i="15"/>
  <c r="BB97" i="15" s="1"/>
  <c r="AL97" i="15"/>
  <c r="AS97" i="15" s="1"/>
  <c r="AK97" i="15"/>
  <c r="AT97" i="15" s="1"/>
  <c r="BF97" i="15" s="1"/>
  <c r="BE96" i="15"/>
  <c r="BD96" i="15"/>
  <c r="AZ96" i="15"/>
  <c r="AS96" i="15"/>
  <c r="AR96" i="15"/>
  <c r="AO96" i="15"/>
  <c r="AN96" i="15"/>
  <c r="AM96" i="15"/>
  <c r="BC96" i="15" s="1"/>
  <c r="AL96" i="15"/>
  <c r="AK96" i="15"/>
  <c r="AT96" i="15" s="1"/>
  <c r="BE95" i="15"/>
  <c r="BD95" i="15"/>
  <c r="BC95" i="15"/>
  <c r="AZ95" i="15"/>
  <c r="AS95" i="15"/>
  <c r="AR95" i="15"/>
  <c r="AO95" i="15"/>
  <c r="AN95" i="15"/>
  <c r="AM95" i="15"/>
  <c r="BB95" i="15" s="1"/>
  <c r="AL95" i="15"/>
  <c r="AP95" i="15" s="1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BC93" i="15"/>
  <c r="AZ93" i="15"/>
  <c r="AS93" i="15"/>
  <c r="AR93" i="15"/>
  <c r="AO93" i="15"/>
  <c r="AN93" i="15"/>
  <c r="AP93" i="15" s="1"/>
  <c r="AM93" i="15"/>
  <c r="BB93" i="15" s="1"/>
  <c r="AL93" i="15"/>
  <c r="AK93" i="15"/>
  <c r="AT93" i="15" s="1"/>
  <c r="BF93" i="15" s="1"/>
  <c r="BE92" i="15"/>
  <c r="BC92" i="15"/>
  <c r="AZ92" i="15"/>
  <c r="AR92" i="15"/>
  <c r="AP92" i="15"/>
  <c r="AO92" i="15"/>
  <c r="AN92" i="15"/>
  <c r="AM92" i="15"/>
  <c r="BB92" i="15" s="1"/>
  <c r="AL92" i="15"/>
  <c r="AS92" i="15" s="1"/>
  <c r="AK92" i="15"/>
  <c r="AT92" i="15" s="1"/>
  <c r="BE91" i="15"/>
  <c r="BC91" i="15"/>
  <c r="AZ91" i="15"/>
  <c r="AS91" i="15"/>
  <c r="AR91" i="15"/>
  <c r="AO91" i="15"/>
  <c r="AN91" i="15"/>
  <c r="AM91" i="15"/>
  <c r="BB91" i="15" s="1"/>
  <c r="AL91" i="15"/>
  <c r="AP91" i="15" s="1"/>
  <c r="AK91" i="15"/>
  <c r="AT91" i="15" s="1"/>
  <c r="BF91" i="15" s="1"/>
  <c r="BE90" i="15"/>
  <c r="AZ90" i="15"/>
  <c r="AR90" i="15"/>
  <c r="AO90" i="15"/>
  <c r="AN90" i="15"/>
  <c r="AM90" i="15"/>
  <c r="BC90" i="15" s="1"/>
  <c r="AL90" i="15"/>
  <c r="AS90" i="15" s="1"/>
  <c r="AK90" i="15"/>
  <c r="AT90" i="15" s="1"/>
  <c r="BE89" i="15"/>
  <c r="BC89" i="15"/>
  <c r="AZ89" i="15"/>
  <c r="AS89" i="15"/>
  <c r="AR89" i="15"/>
  <c r="AO89" i="15"/>
  <c r="AN89" i="15"/>
  <c r="AP89" i="15" s="1"/>
  <c r="AM89" i="15"/>
  <c r="BB89" i="15" s="1"/>
  <c r="AL89" i="15"/>
  <c r="AK89" i="15"/>
  <c r="AT89" i="15" s="1"/>
  <c r="BE88" i="15"/>
  <c r="BC88" i="15"/>
  <c r="AZ88" i="15"/>
  <c r="AR88" i="15"/>
  <c r="AP88" i="15"/>
  <c r="AO88" i="15"/>
  <c r="AN88" i="15"/>
  <c r="AM88" i="15"/>
  <c r="BB88" i="15" s="1"/>
  <c r="AL88" i="15"/>
  <c r="AS88" i="15" s="1"/>
  <c r="AK88" i="15"/>
  <c r="AT88" i="15" s="1"/>
  <c r="BF88" i="15" s="1"/>
  <c r="BE87" i="15"/>
  <c r="BC87" i="15"/>
  <c r="AZ87" i="15"/>
  <c r="AS87" i="15"/>
  <c r="AR87" i="15"/>
  <c r="AO87" i="15"/>
  <c r="AN87" i="15"/>
  <c r="AM87" i="15"/>
  <c r="BB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U80" i="15"/>
  <c r="AQ80" i="15"/>
  <c r="AP80" i="15"/>
  <c r="AN80" i="15"/>
  <c r="AM80" i="15"/>
  <c r="AL80" i="15"/>
  <c r="AK80" i="15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U78" i="15"/>
  <c r="AQ78" i="15"/>
  <c r="AP78" i="15"/>
  <c r="AN78" i="15"/>
  <c r="AM78" i="15"/>
  <c r="AL78" i="15"/>
  <c r="AK78" i="15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V52" i="15"/>
  <c r="AU52" i="15" s="1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V50" i="15"/>
  <c r="AU50" i="15" s="1"/>
  <c r="AQ50" i="15"/>
  <c r="AP50" i="15"/>
  <c r="AN50" i="15"/>
  <c r="AM50" i="15"/>
  <c r="AL50" i="15"/>
  <c r="AK50" i="15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U48" i="15" s="1"/>
  <c r="AQ48" i="15"/>
  <c r="AP48" i="15"/>
  <c r="AN48" i="15"/>
  <c r="AM48" i="15"/>
  <c r="AL48" i="15"/>
  <c r="AK48" i="15"/>
  <c r="AH48" i="15"/>
  <c r="AG48" i="15"/>
  <c r="AF48" i="15"/>
  <c r="AE48" i="15"/>
  <c r="BA47" i="15"/>
  <c r="AU47" i="15"/>
  <c r="AQ47" i="15"/>
  <c r="AP47" i="15"/>
  <c r="AN47" i="15"/>
  <c r="AM47" i="15"/>
  <c r="AL47" i="15"/>
  <c r="AK47" i="15"/>
  <c r="AH47" i="15"/>
  <c r="AG47" i="15"/>
  <c r="AF47" i="15"/>
  <c r="AE47" i="15"/>
  <c r="BA46" i="15"/>
  <c r="AU46" i="15"/>
  <c r="AQ46" i="15"/>
  <c r="AP46" i="15"/>
  <c r="AN46" i="15"/>
  <c r="AM46" i="15"/>
  <c r="AL46" i="15"/>
  <c r="AK46" i="15"/>
  <c r="AH46" i="15"/>
  <c r="AG46" i="15"/>
  <c r="AF46" i="15"/>
  <c r="AE46" i="15"/>
  <c r="BA45" i="15"/>
  <c r="AU45" i="15"/>
  <c r="AQ45" i="15"/>
  <c r="AP45" i="15"/>
  <c r="AN45" i="15"/>
  <c r="AM45" i="15"/>
  <c r="AL45" i="15"/>
  <c r="AK45" i="15"/>
  <c r="AH45" i="15"/>
  <c r="AG45" i="15"/>
  <c r="AF45" i="15"/>
  <c r="AE45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U33" i="15"/>
  <c r="AQ33" i="15"/>
  <c r="AP33" i="15"/>
  <c r="AN33" i="15"/>
  <c r="AM33" i="15"/>
  <c r="AL33" i="15"/>
  <c r="AK33" i="15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C29" i="15"/>
  <c r="BB29" i="15"/>
  <c r="BF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C28" i="15"/>
  <c r="BB28" i="15"/>
  <c r="BF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C27" i="15"/>
  <c r="BB27" i="15"/>
  <c r="BF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C26" i="15"/>
  <c r="BB26" i="15"/>
  <c r="BF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C25" i="15"/>
  <c r="BB25" i="15"/>
  <c r="BF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C24" i="15"/>
  <c r="BB24" i="15"/>
  <c r="BF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C23" i="15"/>
  <c r="BB23" i="15"/>
  <c r="BF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C22" i="15"/>
  <c r="BB22" i="15"/>
  <c r="BF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C21" i="15"/>
  <c r="BB21" i="15"/>
  <c r="BF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C20" i="15"/>
  <c r="BB20" i="15"/>
  <c r="BF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C19" i="15"/>
  <c r="BB19" i="15"/>
  <c r="BF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C18" i="15"/>
  <c r="BB18" i="15"/>
  <c r="BF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C17" i="15"/>
  <c r="BB17" i="15"/>
  <c r="BF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C16" i="15"/>
  <c r="BB16" i="15"/>
  <c r="BF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C15" i="15"/>
  <c r="BB15" i="15"/>
  <c r="AT15" i="15"/>
  <c r="BF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V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F12" i="15"/>
  <c r="BE12" i="15"/>
  <c r="BC12" i="15"/>
  <c r="BB12" i="15"/>
  <c r="AV12" i="15"/>
  <c r="AT12" i="15"/>
  <c r="AS12" i="15"/>
  <c r="AQ12" i="15"/>
  <c r="AP12" i="15"/>
  <c r="AN12" i="15"/>
  <c r="AM12" i="15"/>
  <c r="AL12" i="15"/>
  <c r="AK12" i="15"/>
  <c r="AU12" i="15" s="1"/>
  <c r="AH12" i="15"/>
  <c r="AG12" i="15"/>
  <c r="AF12" i="15"/>
  <c r="AE12" i="15"/>
  <c r="BE11" i="15"/>
  <c r="BC11" i="15"/>
  <c r="BB11" i="15"/>
  <c r="AT11" i="15"/>
  <c r="BF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H10" i="15"/>
  <c r="AG10" i="15"/>
  <c r="AF10" i="15"/>
  <c r="AE10" i="15"/>
  <c r="BE9" i="15"/>
  <c r="BB9" i="15"/>
  <c r="BC9" i="15" s="1"/>
  <c r="AT9" i="15"/>
  <c r="AV9" i="15" s="1"/>
  <c r="AS9" i="15"/>
  <c r="AQ9" i="15"/>
  <c r="AP9" i="15"/>
  <c r="AN9" i="15"/>
  <c r="AM9" i="15"/>
  <c r="AL9" i="15"/>
  <c r="AK9" i="15"/>
  <c r="AH9" i="15"/>
  <c r="AG9" i="15"/>
  <c r="AF9" i="15"/>
  <c r="AE9" i="15"/>
  <c r="BF8" i="15"/>
  <c r="BE8" i="15"/>
  <c r="BC8" i="15"/>
  <c r="BB8" i="15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BF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BF104" i="15" l="1"/>
  <c r="BC128" i="15"/>
  <c r="BF128" i="15" s="1"/>
  <c r="BF105" i="15"/>
  <c r="BF89" i="15"/>
  <c r="BF94" i="15"/>
  <c r="BF95" i="15"/>
  <c r="BF99" i="15"/>
  <c r="BF106" i="15"/>
  <c r="BC129" i="15"/>
  <c r="BF129" i="15" s="1"/>
  <c r="BF108" i="15"/>
  <c r="BF90" i="15"/>
  <c r="BF87" i="15"/>
  <c r="BF92" i="15"/>
  <c r="BF100" i="15"/>
  <c r="AU7" i="15"/>
  <c r="AU11" i="15"/>
  <c r="AU51" i="15"/>
  <c r="BB90" i="15"/>
  <c r="BB94" i="15"/>
  <c r="AP96" i="15"/>
  <c r="BB101" i="15"/>
  <c r="BF101" i="15" s="1"/>
  <c r="BB102" i="15"/>
  <c r="BF102" i="15" s="1"/>
  <c r="BB103" i="15"/>
  <c r="BF103" i="15" s="1"/>
  <c r="BB104" i="15"/>
  <c r="BB105" i="15"/>
  <c r="BB106" i="15"/>
  <c r="BB107" i="15"/>
  <c r="BF107" i="15" s="1"/>
  <c r="BB108" i="15"/>
  <c r="AU117" i="15"/>
  <c r="AQ195" i="15"/>
  <c r="AP195" i="15"/>
  <c r="BC234" i="15"/>
  <c r="BF234" i="15" s="1"/>
  <c r="BC237" i="15"/>
  <c r="BF237" i="15" s="1"/>
  <c r="BC242" i="15"/>
  <c r="BF242" i="15" s="1"/>
  <c r="AV10" i="15"/>
  <c r="AU10" i="15" s="1"/>
  <c r="AV7" i="15"/>
  <c r="BF9" i="15"/>
  <c r="AV11" i="15"/>
  <c r="BF13" i="15"/>
  <c r="AV15" i="15"/>
  <c r="AU15" i="15" s="1"/>
  <c r="AU116" i="15"/>
  <c r="AQ190" i="15"/>
  <c r="AP191" i="15"/>
  <c r="AQ193" i="15"/>
  <c r="AP193" i="15"/>
  <c r="AP196" i="15"/>
  <c r="AQ200" i="15"/>
  <c r="AS205" i="15"/>
  <c r="AQ205" i="15"/>
  <c r="BF207" i="15"/>
  <c r="AU236" i="15"/>
  <c r="BB236" i="15"/>
  <c r="BC238" i="15"/>
  <c r="BF238" i="15"/>
  <c r="AU8" i="15"/>
  <c r="AU128" i="15"/>
  <c r="AU129" i="15"/>
  <c r="AP135" i="15"/>
  <c r="AP192" i="15"/>
  <c r="AQ204" i="15"/>
  <c r="AS206" i="15"/>
  <c r="AQ206" i="15"/>
  <c r="BB239" i="15"/>
  <c r="AU239" i="15"/>
  <c r="BC240" i="15"/>
  <c r="BF240" i="15" s="1"/>
  <c r="BB323" i="15"/>
  <c r="BC323" i="15" s="1"/>
  <c r="AP90" i="15"/>
  <c r="AP94" i="15"/>
  <c r="BB98" i="15"/>
  <c r="BF98" i="15" s="1"/>
  <c r="AP101" i="15"/>
  <c r="AP102" i="15"/>
  <c r="AP103" i="15"/>
  <c r="AP104" i="15"/>
  <c r="AP105" i="15"/>
  <c r="AP106" i="15"/>
  <c r="AP107" i="15"/>
  <c r="AP108" i="15"/>
  <c r="AV154" i="15"/>
  <c r="AU154" i="15"/>
  <c r="AV173" i="15"/>
  <c r="AU173" i="15"/>
  <c r="AQ194" i="15"/>
  <c r="AP194" i="15"/>
  <c r="BF203" i="15"/>
  <c r="AS207" i="15"/>
  <c r="AQ207" i="15"/>
  <c r="BC243" i="15"/>
  <c r="BF243" i="15"/>
  <c r="AV6" i="15"/>
  <c r="AU9" i="15"/>
  <c r="AU13" i="15"/>
  <c r="AU36" i="15"/>
  <c r="AU49" i="15"/>
  <c r="BC98" i="15"/>
  <c r="AP132" i="15"/>
  <c r="BF191" i="15"/>
  <c r="BF194" i="15"/>
  <c r="BF196" i="15"/>
  <c r="AU244" i="15"/>
  <c r="BB244" i="15"/>
  <c r="AU245" i="15"/>
  <c r="BB245" i="15"/>
  <c r="BB96" i="15"/>
  <c r="BF96" i="15" s="1"/>
  <c r="AV151" i="15"/>
  <c r="AU151" i="15"/>
  <c r="AV153" i="15"/>
  <c r="AU153" i="15"/>
  <c r="AS201" i="15"/>
  <c r="AQ201" i="15"/>
  <c r="BC246" i="15"/>
  <c r="BF246" i="15"/>
  <c r="BB247" i="15"/>
  <c r="AU247" i="15"/>
  <c r="AU14" i="15"/>
  <c r="AP136" i="15"/>
  <c r="AP202" i="15"/>
  <c r="BC202" i="15"/>
  <c r="BB202" i="15"/>
  <c r="BF202" i="15" s="1"/>
  <c r="AQ203" i="15"/>
  <c r="AP203" i="15"/>
  <c r="BC235" i="15"/>
  <c r="BF235" i="15" s="1"/>
  <c r="CI239" i="15"/>
  <c r="AU170" i="15"/>
  <c r="CU234" i="15"/>
  <c r="CI238" i="15"/>
  <c r="CO240" i="15"/>
  <c r="CL242" i="15"/>
  <c r="AU264" i="15"/>
  <c r="AU229" i="15"/>
  <c r="CI237" i="15"/>
  <c r="AU238" i="15"/>
  <c r="CQ240" i="15"/>
  <c r="AU243" i="15"/>
  <c r="AU246" i="15"/>
  <c r="AU301" i="15"/>
  <c r="AU314" i="15"/>
  <c r="AU321" i="15"/>
  <c r="BB321" i="15" s="1"/>
  <c r="BC321" i="15" s="1"/>
  <c r="AU335" i="15"/>
  <c r="AU341" i="15"/>
  <c r="AU345" i="15"/>
  <c r="AU347" i="15"/>
  <c r="BB233" i="15"/>
  <c r="CI236" i="15"/>
  <c r="AU237" i="15"/>
  <c r="BB241" i="15"/>
  <c r="CL243" i="15"/>
  <c r="BB248" i="15"/>
  <c r="AU150" i="15"/>
  <c r="AU174" i="15"/>
  <c r="AU175" i="15"/>
  <c r="AU176" i="15"/>
  <c r="AU177" i="15"/>
  <c r="AU178" i="15"/>
  <c r="AU179" i="15"/>
  <c r="AP189" i="15"/>
  <c r="AP190" i="15"/>
  <c r="AP199" i="15"/>
  <c r="AP200" i="15"/>
  <c r="AP204" i="15"/>
  <c r="AU208" i="15"/>
  <c r="AU220" i="15"/>
  <c r="AU228" i="15"/>
  <c r="CI234" i="15"/>
  <c r="CI233" i="15" s="1"/>
  <c r="AU235" i="15"/>
  <c r="CQ243" i="15"/>
  <c r="AU263" i="15"/>
  <c r="AU265" i="15"/>
  <c r="AU267" i="15"/>
  <c r="AU269" i="15"/>
  <c r="AU278" i="15"/>
  <c r="AU296" i="15"/>
  <c r="AU324" i="15"/>
  <c r="BB324" i="15" s="1"/>
  <c r="BC324" i="15" s="1"/>
  <c r="AU337" i="15"/>
  <c r="AU357" i="15"/>
  <c r="AU219" i="15"/>
  <c r="AU234" i="15"/>
  <c r="AU249" i="15"/>
  <c r="AU295" i="15"/>
  <c r="AU299" i="15"/>
  <c r="AU325" i="15"/>
  <c r="BB325" i="15" s="1"/>
  <c r="BC325" i="15" s="1"/>
  <c r="AU343" i="15"/>
  <c r="AU346" i="15"/>
  <c r="AU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3" i="15" l="1"/>
  <c r="BF233" i="15" s="1"/>
  <c r="BC245" i="15"/>
  <c r="BF245" i="15" s="1"/>
  <c r="BC239" i="15"/>
  <c r="BF239" i="15" s="1"/>
  <c r="BC247" i="15"/>
  <c r="BF247" i="15" s="1"/>
  <c r="BC248" i="15"/>
  <c r="BF248" i="15" s="1"/>
  <c r="BF244" i="15"/>
  <c r="BC244" i="15"/>
  <c r="BC241" i="15"/>
  <c r="BF241" i="15" s="1"/>
  <c r="BC236" i="15"/>
  <c r="BF236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<sst xmlns="http://schemas.openxmlformats.org/spreadsheetml/2006/main" count="27235" uniqueCount="6364">
  <si>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</si>
  <si>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</si>
  <si>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</si>
  <si>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</si>
  <si>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</si>
  <si>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</si>
  <si>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</si>
  <si>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</si>
  <si>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</si>
  <si>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</si>
  <si>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</si>
  <si>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</si>
  <si>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</si>
  <si>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</si>
  <si>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</si>
  <si>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</si>
  <si>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</si>
  <si>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</si>
  <si>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</si>
  <si>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</si>
  <si>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</si>
  <si>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</si>
  <si>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</si>
  <si>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</si>
  <si>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</si>
  <si>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</si>
  <si>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</si>
  <si>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</si>
  <si>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</si>
  <si>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</si>
  <si>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</si>
  <si>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</si>
  <si>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</si>
  <si>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</si>
  <si>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</si>
  <si>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</si>
  <si>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</si>
  <si>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</si>
  <si>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</si>
  <si>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</si>
  <si>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</si>
  <si>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</si>
  <si>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</si>
  <si>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</si>
  <si>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</si>
  <si>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</si>
  <si>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</si>
  <si>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</si>
  <si>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</si>
  <si>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</si>
  <si>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</si>
  <si>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</si>
  <si>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</si>
  <si>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</si>
  <si>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</si>
  <si>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</si>
  <si>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</si>
  <si>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</si>
  <si>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</si>
  <si>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</si>
  <si>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</si>
  <si>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</si>
  <si>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</si>
  <si>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</si>
  <si>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</si>
  <si>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</si>
  <si>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</si>
  <si>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</si>
  <si>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</si>
  <si>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</si>
  <si>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</si>
  <si>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</si>
  <si>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</si>
  <si>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</si>
  <si>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</si>
  <si>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</si>
  <si>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</si>
  <si>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</si>
  <si>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</si>
  <si>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</si>
  <si>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</si>
  <si>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</si>
  <si>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</si>
  <si>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</si>
  <si>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</si>
  <si>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</si>
  <si>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</si>
  <si>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</si>
  <si>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</si>
  <si>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</si>
  <si>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</si>
  <si>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</si>
  <si>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</si>
  <si>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</si>
  <si>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</si>
  <si>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</si>
  <si>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</si>
  <si>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</si>
  <si>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</si>
  <si>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</si>
  <si>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</si>
  <si>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</si>
  <si>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</si>
  <si>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</si>
  <si>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</si>
  <si>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</si>
  <si>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</si>
  <si>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</si>
  <si>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</si>
  <si>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</si>
  <si>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</si>
  <si>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</si>
  <si>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</si>
  <si>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</si>
  <si>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</si>
  <si>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</si>
  <si>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</si>
  <si>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</si>
  <si>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</si>
  <si>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</si>
  <si>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</si>
  <si>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</si>
  <si>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</si>
  <si>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</si>
  <si>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</si>
  <si>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</si>
  <si>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</si>
  <si>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</si>
  <si>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</si>
  <si>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</si>
  <si>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</si>
  <si>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</si>
  <si>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</si>
  <si>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</si>
  <si>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</si>
  <si>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</si>
  <si>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</si>
  <si>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</si>
  <si>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</si>
  <si>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</si>
  <si>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</si>
  <si>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</si>
  <si>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</si>
  <si>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</si>
  <si>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</si>
  <si>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</si>
  <si>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</si>
  <si>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</si>
  <si>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</si>
  <si>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</si>
  <si>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</si>
  <si>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</si>
  <si>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</si>
  <si>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</si>
  <si>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</si>
  <si>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</si>
  <si>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</si>
  <si>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</si>
  <si>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</si>
  <si>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</si>
  <si>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</si>
  <si>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</si>
  <si>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</si>
  <si>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</si>
  <si>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</si>
  <si>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</si>
  <si>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</si>
  <si>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</si>
  <si>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</si>
  <si>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</si>
  <si>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</si>
  <si>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</si>
  <si>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</si>
  <si>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</si>
  <si>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</si>
  <si>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</si>
  <si>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</si>
  <si>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</si>
  <si>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</si>
  <si>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</si>
  <si>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</si>
  <si>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</si>
  <si>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</si>
  <si>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</si>
  <si>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</si>
  <si>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</si>
  <si>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</si>
  <si>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</si>
  <si>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</si>
  <si>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</si>
  <si>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</si>
  <si>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</si>
  <si>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</si>
  <si>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</si>
  <si>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</si>
  <si>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</si>
  <si>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</si>
  <si>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</si>
  <si>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</si>
  <si>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</si>
  <si>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</si>
  <si>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</si>
  <si>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</si>
  <si>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</si>
  <si>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</si>
  <si>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</si>
  <si>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</si>
  <si>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</si>
  <si>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</si>
  <si>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</si>
  <si>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</si>
  <si>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</si>
  <si>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</si>
  <si>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</si>
  <si>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</si>
  <si>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</si>
  <si>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</si>
  <si>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</si>
  <si>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</si>
  <si>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</si>
  <si>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</si>
  <si>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</si>
  <si>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</si>
  <si>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</si>
  <si>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</si>
  <si>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</si>
  <si>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</si>
  <si>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</si>
  <si>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</si>
  <si>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</si>
  <si>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</si>
  <si>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</si>
  <si>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</si>
  <si>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</si>
  <si>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</si>
  <si>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</si>
  <si>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</si>
  <si>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</si>
  <si>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</si>
  <si>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</si>
  <si>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</si>
  <si>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</si>
  <si>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</si>
  <si>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</si>
  <si>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</si>
  <si>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</si>
  <si>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</si>
  <si>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</si>
  <si>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</si>
  <si>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</si>
  <si>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</si>
  <si>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</si>
  <si>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</si>
  <si>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</si>
  <si>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</si>
  <si>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</si>
  <si>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</si>
  <si>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</si>
  <si>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</si>
  <si>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</si>
  <si>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</si>
  <si>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</si>
  <si>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</si>
  <si>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</si>
  <si>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</si>
  <si>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</si>
  <si>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</si>
  <si>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</si>
  <si>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</si>
  <si>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</si>
  <si>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</si>
  <si>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</si>
  <si>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</si>
  <si>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</si>
  <si>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</si>
  <si>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</si>
  <si>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</si>
  <si>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</si>
  <si>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</si>
  <si>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</si>
  <si>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</si>
  <si>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</si>
  <si>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</si>
  <si>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</si>
  <si>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</si>
  <si>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</si>
  <si>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</si>
  <si>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</si>
  <si>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</si>
  <si>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</si>
  <si>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</si>
  <si>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</si>
  <si>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</si>
  <si>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</si>
  <si>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</si>
  <si>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</si>
  <si>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</si>
  <si>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</si>
  <si>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</si>
  <si>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</si>
  <si>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</si>
  <si>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</si>
  <si>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</si>
  <si>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</si>
  <si>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</si>
  <si>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</si>
  <si>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</si>
  <si>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</si>
  <si>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</si>
  <si>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</si>
  <si>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</si>
  <si>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</si>
  <si>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</si>
  <si>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</si>
  <si>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</si>
  <si>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</si>
  <si>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</si>
  <si>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</si>
  <si>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</si>
  <si>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</si>
  <si>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</si>
  <si>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</si>
  <si>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</si>
  <si>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</si>
  <si>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</si>
  <si>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</si>
  <si>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</si>
  <si>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</si>
  <si>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</si>
  <si>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</si>
  <si>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</si>
  <si>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</si>
  <si>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</si>
  <si>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</si>
  <si>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</si>
  <si>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</si>
  <si>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</si>
  <si>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</si>
  <si>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</si>
  <si>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</si>
  <si>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</si>
  <si>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</si>
  <si>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</si>
  <si>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</si>
  <si>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</si>
  <si>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</si>
  <si>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</si>
  <si>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</si>
  <si>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</si>
  <si>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</si>
  <si>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</si>
  <si>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</si>
  <si>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</si>
  <si>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</si>
  <si>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</si>
  <si>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</si>
  <si>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</si>
  <si>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</si>
  <si>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</si>
  <si>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</si>
  <si>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</si>
  <si>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</si>
  <si>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</si>
  <si>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</si>
  <si>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</si>
  <si>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</si>
  <si>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</si>
  <si>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</si>
  <si>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</si>
  <si>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</si>
  <si>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</si>
  <si>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</si>
  <si>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</si>
  <si>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</si>
  <si>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</si>
  <si>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</si>
  <si>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</si>
  <si>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</si>
  <si>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</si>
  <si>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</si>
  <si>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</si>
  <si>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</si>
  <si>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</si>
  <si>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</si>
  <si>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</si>
  <si>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</si>
  <si>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</si>
  <si>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</si>
  <si>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</si>
  <si>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</si>
  <si>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</si>
  <si>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</si>
  <si>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</si>
  <si>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</si>
  <si>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</si>
  <si>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</si>
  <si>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</si>
  <si>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</si>
  <si>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</si>
  <si>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</si>
  <si>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</si>
  <si>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</si>
  <si>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</si>
  <si>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</si>
  <si>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</si>
  <si>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</si>
  <si>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</si>
  <si>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</si>
  <si>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</si>
  <si>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</si>
  <si>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</si>
  <si>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</si>
  <si>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</si>
  <si>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</si>
  <si>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</si>
  <si>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</si>
  <si>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</si>
  <si>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</si>
  <si>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</si>
  <si>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</si>
  <si>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</si>
  <si>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</si>
  <si>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</si>
  <si>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</si>
  <si>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</si>
  <si>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</si>
  <si>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</si>
  <si>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</si>
  <si>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</si>
  <si>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</si>
  <si>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</si>
  <si>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</si>
  <si>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</si>
  <si>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</si>
  <si>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</si>
  <si>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</si>
  <si>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</si>
  <si>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</si>
  <si>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</si>
  <si>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</si>
  <si>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</si>
  <si>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</si>
  <si>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</si>
  <si>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</si>
  <si>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</si>
  <si>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</si>
  <si>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</si>
  <si>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</si>
  <si>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</si>
  <si>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</si>
  <si>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</si>
  <si>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</si>
  <si>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</si>
  <si>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</si>
  <si>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</si>
  <si>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</si>
  <si>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</si>
  <si>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</si>
  <si>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</si>
  <si>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</si>
  <si>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</si>
  <si>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</si>
  <si>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</si>
  <si>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</si>
  <si>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</si>
  <si>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</si>
  <si>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</si>
  <si>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</si>
  <si>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</si>
  <si>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</si>
  <si>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</si>
  <si>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</si>
  <si>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</si>
  <si>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</si>
  <si>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</si>
  <si>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</si>
  <si>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</si>
  <si>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</si>
  <si>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</si>
  <si>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</si>
  <si>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</si>
  <si>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</si>
  <si>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</si>
  <si>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</si>
  <si>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</si>
  <si>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</si>
  <si>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</si>
  <si>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</si>
  <si>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</si>
  <si>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</si>
  <si>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</si>
  <si>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</si>
  <si>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</si>
  <si>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</si>
  <si>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</si>
  <si>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</si>
  <si>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</si>
  <si>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</si>
  <si>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</si>
  <si>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</si>
  <si>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</si>
  <si>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</si>
  <si>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</si>
  <si>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</si>
  <si>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</si>
  <si>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</si>
  <si>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</si>
  <si>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</si>
  <si>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</si>
  <si>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</si>
  <si>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</si>
  <si>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</si>
  <si>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</si>
  <si>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</si>
  <si>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</si>
  <si>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</si>
  <si>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</si>
  <si>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</si>
  <si>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</si>
  <si>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</si>
  <si>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</si>
  <si>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</si>
  <si>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</si>
  <si>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</si>
  <si>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</si>
  <si>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</si>
  <si>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</si>
  <si>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</si>
  <si>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</si>
  <si>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</si>
  <si>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</si>
  <si>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</si>
  <si>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</si>
  <si>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</si>
  <si>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</si>
  <si>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</si>
  <si>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</si>
  <si>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</si>
  <si>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</si>
  <si>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</si>
  <si>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</si>
  <si>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</si>
  <si>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</si>
  <si>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</si>
  <si>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</si>
  <si>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</si>
  <si>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</si>
  <si>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</si>
  <si>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</si>
  <si>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</si>
  <si>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</si>
  <si>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</si>
  <si>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</si>
  <si>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</si>
  <si>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</si>
  <si>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</si>
  <si>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</si>
  <si>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</si>
  <si>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</si>
  <si>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</si>
  <si>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</si>
  <si>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</si>
  <si>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</si>
  <si>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</si>
  <si>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</si>
  <si>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</si>
  <si>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</si>
  <si>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</si>
  <si>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</si>
  <si>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</si>
  <si>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</si>
  <si>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</si>
  <si>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</si>
  <si>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</si>
  <si>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</si>
  <si>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</si>
  <si>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</si>
  <si>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</si>
  <si>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</si>
  <si>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</si>
  <si>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</si>
  <si>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</si>
  <si>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</si>
  <si>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</si>
  <si>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</si>
  <si>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</si>
  <si>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</si>
  <si>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</si>
  <si>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</si>
  <si>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</si>
  <si>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</si>
  <si>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</si>
  <si>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</si>
  <si>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</si>
  <si>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</si>
  <si>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</si>
  <si>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</si>
  <si>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</si>
  <si>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</si>
  <si>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</si>
  <si>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</si>
  <si>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</si>
  <si>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</si>
  <si>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</si>
  <si>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</si>
  <si>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</si>
  <si>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</si>
  <si>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</si>
  <si>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</si>
  <si>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</si>
  <si>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</si>
  <si>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</si>
  <si>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</si>
  <si>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</si>
  <si>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</si>
  <si>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</si>
  <si>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</si>
  <si>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</si>
  <si>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</si>
  <si>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</si>
  <si>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</si>
  <si>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</si>
  <si>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</si>
  <si>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</si>
  <si>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</si>
  <si>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</si>
  <si>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</si>
  <si>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</si>
  <si>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</si>
  <si>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</si>
  <si>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</si>
  <si>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</si>
  <si>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</si>
  <si>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</si>
  <si>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</si>
  <si>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</si>
  <si>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</si>
  <si>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</si>
  <si>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</si>
  <si>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</si>
  <si>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</si>
  <si>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</si>
  <si>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</si>
  <si>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</si>
  <si>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</si>
  <si>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</si>
  <si>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</si>
  <si>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</si>
  <si>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</si>
  <si>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</si>
  <si>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</si>
  <si>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</si>
  <si>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</si>
  <si>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</si>
  <si>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</si>
  <si>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</si>
  <si>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</si>
  <si>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</si>
  <si>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</si>
  <si>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</si>
  <si>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</si>
  <si>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</si>
  <si>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</si>
  <si>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</si>
  <si>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</si>
  <si>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</si>
  <si>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</si>
  <si>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</si>
  <si>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</si>
  <si>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</si>
  <si>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</si>
  <si>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</si>
  <si>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</si>
  <si>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</si>
  <si>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</si>
  <si>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</si>
  <si>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</si>
  <si>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</si>
  <si>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</si>
  <si>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</si>
  <si>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</si>
  <si>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</si>
  <si>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</si>
  <si>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</si>
  <si>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</si>
  <si>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</si>
  <si>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</si>
  <si>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</si>
  <si>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</si>
  <si>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</si>
  <si>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</si>
  <si>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</si>
  <si>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</si>
  <si>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</si>
  <si>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</si>
  <si>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</si>
  <si>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</si>
  <si>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</si>
  <si>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</si>
  <si>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</si>
  <si>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</si>
  <si>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</si>
  <si>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</si>
  <si>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</si>
  <si>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</si>
  <si>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</si>
  <si>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</si>
  <si>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</si>
  <si>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</si>
  <si>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</si>
  <si>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</si>
  <si>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</si>
  <si>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</si>
  <si>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</si>
  <si>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</si>
  <si>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</si>
  <si>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</si>
  <si>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</si>
  <si>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</si>
  <si>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</si>
  <si>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</si>
  <si>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</si>
  <si>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</si>
  <si>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</si>
  <si>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</si>
  <si>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</si>
  <si>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</si>
  <si>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</si>
  <si>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</si>
  <si>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</si>
  <si>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</si>
  <si>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</si>
  <si>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</si>
  <si>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</si>
  <si>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</si>
  <si>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</si>
  <si>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</si>
  <si>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</si>
  <si>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</si>
  <si>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</si>
  <si>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</si>
  <si>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</si>
  <si>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</si>
  <si>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</si>
  <si>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</si>
  <si>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</si>
  <si>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</si>
  <si>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</si>
  <si>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</si>
  <si>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</si>
  <si>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</si>
  <si>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</si>
  <si>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</si>
  <si>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</si>
  <si>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</si>
  <si>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</si>
  <si>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</si>
  <si>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</si>
  <si>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</si>
  <si>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</si>
  <si>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</si>
  <si>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</si>
  <si>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</si>
  <si>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</si>
  <si>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</si>
  <si>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</si>
  <si>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</si>
  <si>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</si>
  <si>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</si>
  <si>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</si>
  <si>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</si>
  <si>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</si>
  <si>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</si>
  <si>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</si>
  <si>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</si>
  <si>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</si>
  <si>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</si>
  <si>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</si>
  <si>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</si>
  <si>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</si>
  <si>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</si>
  <si>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</si>
  <si>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</si>
  <si>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</si>
  <si>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</si>
  <si>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</si>
  <si>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</si>
  <si>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</si>
  <si>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</si>
  <si>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</si>
  <si>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</si>
  <si>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</si>
  <si>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</si>
  <si>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</si>
  <si>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</si>
  <si>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</si>
  <si>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</si>
  <si>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</si>
  <si>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</si>
  <si>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</si>
  <si>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</si>
  <si>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</si>
  <si>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</si>
  <si>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</si>
  <si>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</si>
  <si>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</si>
  <si>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</si>
  <si>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</si>
  <si>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</si>
  <si>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</si>
  <si>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</si>
  <si>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</si>
  <si>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</si>
  <si>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</si>
  <si>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</si>
  <si>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</si>
  <si>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</si>
  <si>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</si>
  <si>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</si>
  <si>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</si>
  <si>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</si>
  <si>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</si>
  <si>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</si>
  <si>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</si>
  <si>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</si>
  <si>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</si>
  <si>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</si>
  <si>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</si>
  <si>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</si>
  <si>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</si>
  <si>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</si>
  <si>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</si>
  <si>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</si>
  <si>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</si>
  <si>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</si>
  <si>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</si>
  <si>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</si>
  <si>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</si>
  <si>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</si>
  <si>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</si>
  <si>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</si>
  <si>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</si>
  <si>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</si>
  <si>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</si>
  <si>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</si>
  <si>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</si>
  <si>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</si>
  <si>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</si>
  <si>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</si>
  <si>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</si>
  <si>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</si>
  <si>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</si>
  <si>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</si>
  <si>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</si>
  <si>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</si>
  <si>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</si>
  <si>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</si>
  <si>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</si>
  <si>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</si>
  <si>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</si>
  <si>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</si>
  <si>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</si>
  <si>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</si>
  <si>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</si>
  <si>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</si>
  <si>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</si>
  <si>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</si>
  <si>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</si>
  <si>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</si>
  <si>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</si>
  <si>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</si>
  <si>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</si>
  <si>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</si>
  <si>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</si>
  <si>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</si>
  <si>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</si>
  <si>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</si>
  <si>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</si>
  <si>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</si>
  <si>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</si>
  <si>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</si>
  <si>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</si>
  <si>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</si>
  <si>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</si>
  <si>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</si>
  <si>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</si>
  <si>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</si>
  <si>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</si>
  <si>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</si>
  <si>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</si>
  <si>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</si>
  <si>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</si>
  <si>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</si>
  <si>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</si>
  <si>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</si>
  <si>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</si>
  <si>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</si>
  <si>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</si>
  <si>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</si>
  <si>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</si>
  <si>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</si>
  <si>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</si>
  <si>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</si>
  <si>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</si>
  <si>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</si>
  <si>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</si>
  <si>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</si>
  <si>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</si>
  <si>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</si>
  <si>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</si>
  <si>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</si>
  <si>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</si>
  <si>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</si>
  <si>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</si>
  <si>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</si>
  <si>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</si>
  <si>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</si>
  <si>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</si>
  <si>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</si>
  <si>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</si>
  <si>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</si>
  <si>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</si>
  <si>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</si>
  <si>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</si>
  <si>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</si>
  <si>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</si>
  <si>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</si>
  <si>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</si>
  <si>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</si>
  <si>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</si>
  <si>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</si>
  <si>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</si>
  <si>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</si>
  <si>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</si>
  <si>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</si>
  <si>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</si>
  <si>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</si>
  <si>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</si>
  <si>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</si>
  <si>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</si>
  <si>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</si>
  <si>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</si>
  <si>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</si>
  <si>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</si>
  <si>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</si>
  <si>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</si>
  <si>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</si>
  <si>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</si>
  <si>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</si>
  <si>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</si>
  <si>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</si>
  <si>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</si>
  <si>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</si>
  <si>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</si>
  <si>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</si>
  <si>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</si>
  <si>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</si>
  <si>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</si>
  <si>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</si>
  <si>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</si>
  <si>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</si>
  <si>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</si>
  <si>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</si>
  <si>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</si>
  <si>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</si>
  <si>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</si>
  <si>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</si>
  <si>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</si>
  <si>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</si>
  <si>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</si>
  <si>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</si>
  <si>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</si>
  <si>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</si>
  <si>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</si>
  <si>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</si>
  <si>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</si>
  <si>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</si>
  <si>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</si>
  <si>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</si>
  <si>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</si>
  <si>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</si>
  <si>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</si>
  <si>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</si>
  <si>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</si>
  <si>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</si>
  <si>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</si>
  <si>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</si>
  <si>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</si>
  <si>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</si>
  <si>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</si>
  <si>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</si>
  <si>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</si>
  <si>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</si>
  <si>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</si>
  <si>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</si>
  <si>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</si>
  <si>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</si>
  <si>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</si>
  <si>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</si>
  <si>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</si>
  <si>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</si>
  <si>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</si>
  <si>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</si>
  <si>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</si>
  <si>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</si>
  <si>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</si>
  <si>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</si>
  <si>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</si>
  <si>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</si>
  <si>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</si>
  <si>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</si>
  <si>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</si>
  <si>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</si>
  <si>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</si>
  <si>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</si>
  <si>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</si>
  <si>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</si>
  <si>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</si>
  <si>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</si>
  <si>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</si>
  <si>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</si>
  <si>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</si>
  <si>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</si>
  <si>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</si>
  <si>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</si>
  <si>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</si>
  <si>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</si>
  <si>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</si>
  <si>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</si>
  <si>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</si>
  <si>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</si>
  <si>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</si>
  <si>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</si>
  <si>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</si>
  <si>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</si>
  <si>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</si>
  <si>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</si>
  <si>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</si>
  <si>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</si>
  <si>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</si>
  <si>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</si>
  <si>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</si>
  <si>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</si>
  <si>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</si>
  <si>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</si>
  <si>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</si>
  <si>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</si>
  <si>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</si>
  <si>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</si>
  <si>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</si>
  <si>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</si>
  <si>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</si>
  <si>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</si>
  <si>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</si>
  <si>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</si>
  <si>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</si>
  <si>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</si>
  <si>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</si>
  <si>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</si>
  <si>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</si>
  <si>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</si>
  <si>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</si>
  <si>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</si>
  <si>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</si>
  <si>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</si>
  <si>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</si>
  <si>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</si>
  <si>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</si>
  <si>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</si>
  <si>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</si>
  <si>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</si>
  <si>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</si>
  <si>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</si>
  <si>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</si>
  <si>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</si>
  <si>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</si>
  <si>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</si>
  <si>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</si>
  <si>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</si>
  <si>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</si>
  <si>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</si>
  <si>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</si>
  <si>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</si>
  <si>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</si>
  <si>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</si>
  <si>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</si>
  <si>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</si>
  <si>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</si>
  <si>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</si>
  <si>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</si>
  <si>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</si>
  <si>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</si>
  <si>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</si>
  <si>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</si>
  <si>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</si>
  <si>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</si>
  <si>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</si>
  <si>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</si>
  <si>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</si>
  <si>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</si>
  <si>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</si>
  <si>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</si>
  <si>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</si>
  <si>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</si>
  <si>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</si>
  <si>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</si>
  <si>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</si>
  <si>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</si>
  <si>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</si>
  <si>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</si>
  <si>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</si>
  <si>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</si>
  <si>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</si>
  <si>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</si>
  <si>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</si>
  <si>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</si>
  <si>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</si>
  <si>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</si>
  <si>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</si>
  <si>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</si>
  <si>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</si>
  <si>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</si>
  <si>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</si>
  <si>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</si>
  <si>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</si>
  <si>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</si>
  <si>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</si>
  <si>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</si>
  <si>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</si>
  <si>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</si>
  <si>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</si>
  <si>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</si>
  <si>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</si>
  <si>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</si>
  <si>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</si>
  <si>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</si>
  <si>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</si>
  <si>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</si>
  <si>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</si>
  <si>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</si>
  <si>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</si>
  <si>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</si>
  <si>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</si>
  <si>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</si>
  <si>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</si>
  <si>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</si>
  <si>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</si>
  <si>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</si>
  <si>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</si>
  <si>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</si>
  <si>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</si>
  <si>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</si>
  <si>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</si>
  <si>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</si>
  <si>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</si>
  <si>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</si>
  <si>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</si>
  <si>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</si>
  <si>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</si>
  <si>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</si>
  <si>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</si>
  <si>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</si>
  <si>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</si>
  <si>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</si>
  <si>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</si>
  <si>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</si>
  <si>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</si>
  <si>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</si>
  <si>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</si>
  <si>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</si>
  <si>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</si>
  <si>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</si>
  <si>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</si>
  <si>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</si>
  <si>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</si>
  <si>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</si>
  <si>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</si>
  <si>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</si>
  <si>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</si>
  <si>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</si>
  <si>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</si>
  <si>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</si>
  <si>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</si>
  <si>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</si>
  <si>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</si>
  <si>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</si>
  <si>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</si>
  <si>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</si>
  <si>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</si>
  <si>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</si>
  <si>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</si>
  <si>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</si>
  <si>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</si>
  <si>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</si>
  <si>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</si>
  <si>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</si>
  <si>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</si>
  <si>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</si>
  <si>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</si>
  <si>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</si>
  <si>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</si>
  <si>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</si>
  <si>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</si>
  <si>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</si>
  <si>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</si>
  <si>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</si>
  <si>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</si>
  <si>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</si>
  <si>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</si>
  <si>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</si>
  <si>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</si>
  <si>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</si>
  <si>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</si>
  <si>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</si>
  <si>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</si>
  <si>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</si>
  <si>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</si>
  <si>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</si>
  <si>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</si>
  <si>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</si>
  <si>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</si>
  <si>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</si>
  <si>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</si>
  <si>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</si>
  <si>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</si>
  <si>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</si>
  <si>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</si>
  <si>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</si>
  <si>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</si>
  <si>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</si>
  <si>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</si>
  <si>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</si>
  <si>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</si>
  <si>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</si>
  <si>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</si>
  <si>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</si>
  <si>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</si>
  <si>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</si>
  <si>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</si>
  <si>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</si>
  <si>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</si>
  <si>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</si>
  <si>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</si>
  <si>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</si>
  <si>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</si>
  <si>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</si>
  <si>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</si>
  <si>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</si>
  <si>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</si>
  <si>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</si>
  <si>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</si>
  <si>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</si>
  <si>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</si>
  <si>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</si>
  <si>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</si>
  <si>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</si>
  <si>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</si>
  <si>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</si>
  <si>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</si>
  <si>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</si>
  <si>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</si>
  <si>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</si>
  <si>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</si>
  <si>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</si>
  <si>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</si>
  <si>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</si>
  <si>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</si>
  <si>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</si>
  <si>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</si>
  <si>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</si>
  <si>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</si>
  <si>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</si>
  <si>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</si>
  <si>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</si>
  <si>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</si>
  <si>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</si>
  <si>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</si>
  <si>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</si>
  <si>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</si>
  <si>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</si>
  <si>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</si>
  <si>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</si>
  <si>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</si>
  <si>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</si>
  <si>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</si>
  <si>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</si>
  <si>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</si>
  <si>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</si>
  <si>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</si>
  <si>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</si>
  <si>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</si>
  <si>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</si>
  <si>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</si>
  <si>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</si>
  <si>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</si>
  <si>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</si>
  <si>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</si>
  <si>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</si>
  <si>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</si>
  <si>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</si>
  <si>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</si>
  <si>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</si>
  <si>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</si>
  <si>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</si>
  <si>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</si>
  <si>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</si>
  <si>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</si>
  <si>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</si>
  <si>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</si>
  <si>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</si>
  <si>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</si>
  <si>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</si>
  <si>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</si>
  <si>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</si>
  <si>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</si>
  <si>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</si>
  <si>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</si>
  <si>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</si>
  <si>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</si>
  <si>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</si>
  <si>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</si>
  <si>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</si>
  <si>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</si>
  <si>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</si>
  <si>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</si>
  <si>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</si>
  <si>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</si>
  <si>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</si>
  <si>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</si>
  <si>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</si>
  <si>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</si>
  <si>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</si>
  <si>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</si>
  <si>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</si>
  <si>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</si>
  <si>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</si>
  <si>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</si>
  <si>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</si>
  <si>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</si>
  <si>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</si>
  <si>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</si>
  <si>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</si>
  <si>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</si>
  <si>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</si>
  <si>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</si>
  <si>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</si>
  <si>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</si>
  <si>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</si>
  <si>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</si>
  <si>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</si>
  <si>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</si>
  <si>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</si>
  <si>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</si>
  <si>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</si>
  <si>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</si>
  <si>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</si>
  <si>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</si>
  <si>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</si>
  <si>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</si>
  <si>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</si>
  <si>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</si>
  <si>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</si>
  <si>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</si>
  <si>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</si>
  <si>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</si>
  <si>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</si>
  <si>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</si>
  <si>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</si>
  <si>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</si>
  <si>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</si>
  <si>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</si>
  <si>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</si>
  <si>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</si>
  <si>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</si>
  <si>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</si>
  <si>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</si>
  <si>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</si>
  <si>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</si>
  <si>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</si>
  <si>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</si>
  <si>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</si>
  <si>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</si>
  <si>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</si>
  <si>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</si>
  <si>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</si>
  <si>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</si>
  <si>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</si>
  <si>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</si>
  <si>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</si>
  <si>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</si>
  <si>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</si>
  <si>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</si>
  <si>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</si>
  <si>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</si>
  <si>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</si>
  <si>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</si>
  <si>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</si>
  <si>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</si>
  <si>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</si>
  <si>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</si>
  <si>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</si>
  <si>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</si>
  <si>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</si>
  <si>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</si>
  <si>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</si>
  <si>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</si>
  <si>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</si>
  <si>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</si>
  <si>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</si>
  <si>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</si>
  <si>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</si>
  <si>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</si>
  <si>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</si>
  <si>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</si>
  <si>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</si>
  <si>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</si>
  <si>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</si>
  <si>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</si>
  <si>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</si>
  <si>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</si>
  <si>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</si>
  <si>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</si>
  <si>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</si>
  <si>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</si>
  <si>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</si>
  <si>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</si>
  <si>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</si>
  <si>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</si>
  <si>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</si>
  <si>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</si>
  <si>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</si>
  <si>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</si>
  <si>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</si>
  <si>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</si>
  <si>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</si>
  <si>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</si>
  <si>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</si>
  <si>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</si>
  <si>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</si>
  <si>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</si>
  <si>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</si>
  <si>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</si>
  <si>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</si>
  <si>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</si>
  <si>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</si>
  <si>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</si>
  <si>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</si>
  <si>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</si>
  <si>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</si>
  <si>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</si>
  <si>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</si>
  <si>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</si>
  <si>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</si>
  <si>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</si>
  <si>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</si>
  <si>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</si>
  <si>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</si>
  <si>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</si>
  <si>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</si>
  <si>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</si>
  <si>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</si>
  <si>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</si>
  <si>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</si>
  <si>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</si>
  <si>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</si>
  <si>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</si>
  <si>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</si>
  <si>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</si>
  <si>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</si>
  <si>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</si>
  <si>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</si>
  <si>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</si>
  <si>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</si>
  <si>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</si>
  <si>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</si>
  <si>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</si>
  <si>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</si>
  <si>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</si>
  <si>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</si>
  <si>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</si>
  <si>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</si>
  <si>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</si>
  <si>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</si>
  <si>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</si>
  <si>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</si>
  <si>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</si>
  <si>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</si>
  <si>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</si>
  <si>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</si>
  <si>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</si>
  <si>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</si>
  <si>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</si>
  <si>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</si>
  <si>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</si>
  <si>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</si>
  <si>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</si>
  <si>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</si>
  <si>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</si>
  <si>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</si>
  <si>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</si>
  <si>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</si>
  <si>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</si>
  <si>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</si>
  <si>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</si>
  <si>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</si>
  <si>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</si>
  <si>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</si>
  <si>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</si>
  <si>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</si>
  <si>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</si>
  <si>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</si>
  <si>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</si>
  <si>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</si>
  <si>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</si>
  <si>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</si>
  <si>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</si>
  <si>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</si>
  <si>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</si>
  <si>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</si>
  <si>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</si>
  <si>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</si>
  <si>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</si>
  <si>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</si>
  <si>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</si>
  <si>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</si>
  <si>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</si>
  <si>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</si>
  <si>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</si>
  <si>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</si>
  <si>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</si>
  <si>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</si>
  <si>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</si>
  <si>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</si>
  <si>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</si>
  <si>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</si>
  <si>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</si>
  <si>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</si>
  <si>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</si>
  <si>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</si>
  <si>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</si>
  <si>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</si>
  <si>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</si>
  <si>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</si>
  <si>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</si>
  <si>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</si>
  <si>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</si>
  <si>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</si>
  <si>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</si>
  <si>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</si>
  <si>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</si>
  <si>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</si>
  <si>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</si>
  <si>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</si>
  <si>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</si>
  <si>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</si>
  <si>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</si>
  <si>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</si>
  <si>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</si>
  <si>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</si>
  <si>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</si>
  <si>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</si>
  <si>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</si>
  <si>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</si>
  <si>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</si>
  <si>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</si>
  <si>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</si>
  <si>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</si>
  <si>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</si>
  <si>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</si>
  <si>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</si>
  <si>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</si>
  <si>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</si>
  <si>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</si>
  <si>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</si>
  <si>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</si>
  <si>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</si>
  <si>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</si>
  <si>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</si>
  <si>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</si>
  <si>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</si>
  <si>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</si>
  <si>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</si>
  <si>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</si>
  <si>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</si>
  <si>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</si>
  <si>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</si>
  <si>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</si>
  <si>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</si>
  <si>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</si>
  <si>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</si>
  <si>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</si>
  <si>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</si>
  <si>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</si>
  <si>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</si>
  <si>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</si>
  <si>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</si>
  <si>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</si>
  <si>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</si>
  <si>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</si>
  <si>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</si>
  <si>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</si>
  <si>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</si>
  <si>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</si>
  <si>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</si>
  <si>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</si>
  <si>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</si>
  <si>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</si>
  <si>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</si>
  <si>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</si>
  <si>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</si>
  <si>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</si>
  <si>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</si>
  <si>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</si>
  <si>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</si>
  <si>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</si>
  <si>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</si>
  <si>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</si>
  <si>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</si>
  <si>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</si>
  <si>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</si>
  <si>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</si>
  <si>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</si>
  <si>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</si>
  <si>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</si>
  <si>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</si>
  <si>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</si>
  <si>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</si>
  <si>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</si>
  <si>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</si>
  <si>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</si>
  <si>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</si>
  <si>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</si>
  <si>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</si>
  <si>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</si>
  <si>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</si>
  <si>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</si>
  <si>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</si>
  <si>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</si>
  <si>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</si>
  <si>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</si>
  <si>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</si>
  <si>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</si>
  <si>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</si>
  <si>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</si>
  <si>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</si>
  <si>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</si>
  <si>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</si>
  <si>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</si>
  <si>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</si>
  <si>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</si>
  <si>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</si>
  <si>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</si>
  <si>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</si>
  <si>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</si>
  <si>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</si>
  <si>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</si>
  <si>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</si>
  <si>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</si>
  <si>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</si>
  <si>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</si>
  <si>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</si>
  <si>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</si>
  <si>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</si>
  <si>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</si>
  <si>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</si>
  <si>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</si>
  <si>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</si>
  <si>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</si>
  <si>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</si>
  <si>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</si>
  <si>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</si>
  <si>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</si>
  <si>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</si>
  <si>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</si>
  <si>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</si>
  <si>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</si>
  <si>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</si>
  <si>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</si>
  <si>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</si>
  <si>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</si>
  <si>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</si>
  <si>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</si>
  <si>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</si>
  <si>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</si>
  <si>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</si>
  <si>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</si>
  <si>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</si>
  <si>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</si>
  <si>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</si>
  <si>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</si>
  <si>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</si>
  <si>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</si>
  <si>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</si>
  <si>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</si>
  <si>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</si>
  <si>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</si>
  <si>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</si>
  <si>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</si>
  <si>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</si>
  <si>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</si>
  <si>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</si>
  <si>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</si>
  <si>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</si>
  <si>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</si>
  <si>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</si>
  <si>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</si>
  <si>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</si>
  <si>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</si>
  <si>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</si>
  <si>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</si>
  <si>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</si>
  <si>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</si>
  <si>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</si>
  <si>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</si>
  <si>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</si>
  <si>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</si>
  <si>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</si>
  <si>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</si>
  <si>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</si>
  <si>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</si>
  <si>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</si>
  <si>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</si>
  <si>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</si>
  <si>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</si>
  <si>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</si>
  <si>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</si>
  <si>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</si>
  <si>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</si>
  <si>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</si>
  <si>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</si>
  <si>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</si>
  <si>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</si>
  <si>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</si>
  <si>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</si>
  <si>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</si>
  <si>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</si>
  <si>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</si>
  <si>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</si>
  <si>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</si>
  <si>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</si>
  <si>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</si>
  <si>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</si>
  <si>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</si>
  <si>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</si>
  <si>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</si>
  <si>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</si>
  <si>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</si>
  <si>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</si>
  <si>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</si>
  <si>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</si>
  <si>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</si>
  <si>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</si>
  <si>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</si>
  <si>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</si>
  <si>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</si>
  <si>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</si>
  <si>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</si>
  <si>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</si>
  <si>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</si>
  <si>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</si>
  <si>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</si>
  <si>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</si>
  <si>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</si>
  <si>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</si>
  <si>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</si>
  <si>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</si>
  <si>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</si>
  <si>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</si>
  <si>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</si>
  <si>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</si>
  <si>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</si>
  <si>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</si>
  <si>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</si>
  <si>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</si>
  <si>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</si>
  <si>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</si>
  <si>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</si>
  <si>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</si>
  <si>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</si>
  <si>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</si>
  <si>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</si>
  <si>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</si>
  <si>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</si>
  <si>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</si>
  <si>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</si>
  <si>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</si>
  <si>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</si>
  <si>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</si>
  <si>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</si>
  <si>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</si>
  <si>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</si>
  <si>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</si>
  <si>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</si>
  <si>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</si>
  <si>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</si>
  <si>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</si>
  <si>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</si>
  <si>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</si>
  <si>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</si>
  <si>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</si>
  <si>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</si>
  <si>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</si>
  <si>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</si>
  <si>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</si>
  <si>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</si>
  <si>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</si>
  <si>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</si>
  <si>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</si>
  <si>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</si>
  <si>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</si>
  <si>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</si>
  <si>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</si>
  <si>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</si>
  <si>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</si>
  <si>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</si>
  <si>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</si>
  <si>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</si>
  <si>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</si>
  <si>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</si>
  <si>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</si>
  <si>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</si>
  <si>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</si>
  <si>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</si>
  <si>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</si>
  <si>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</si>
  <si>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</si>
  <si>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</si>
  <si>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</si>
  <si>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</si>
  <si>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</si>
  <si>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</si>
  <si>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</si>
  <si>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</si>
  <si>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</si>
  <si>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</si>
  <si>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</si>
  <si>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</si>
  <si>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</si>
  <si>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</si>
  <si>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</si>
  <si>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</si>
  <si>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</si>
  <si>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</si>
  <si>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</si>
  <si>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</si>
  <si>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</si>
  <si>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</si>
  <si>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</si>
  <si>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</si>
  <si>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</si>
  <si>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</si>
  <si>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</si>
  <si>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</si>
  <si>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</si>
  <si>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</si>
  <si>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</si>
  <si>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</si>
  <si>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</si>
  <si>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</si>
  <si>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</si>
  <si>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</si>
  <si>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</si>
  <si>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</si>
  <si>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</si>
  <si>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</si>
  <si>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</si>
  <si>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</si>
  <si>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</si>
  <si>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</si>
  <si>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</si>
  <si>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</si>
  <si>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</si>
  <si>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</si>
  <si>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</si>
  <si>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</si>
  <si>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</si>
  <si>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</si>
  <si>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</si>
  <si>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</si>
  <si>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</si>
  <si>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</si>
  <si>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</si>
  <si>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</si>
  <si>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</si>
  <si>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</si>
  <si>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</si>
  <si>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</si>
  <si>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</si>
  <si>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</si>
  <si>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</si>
  <si>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</si>
  <si>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</si>
  <si>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</si>
  <si>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</si>
  <si>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</si>
  <si>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</si>
  <si>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</si>
  <si>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</si>
  <si>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</si>
  <si>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</si>
  <si>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</si>
  <si>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</si>
  <si>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</si>
  <si>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</si>
  <si>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</si>
  <si>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</si>
  <si>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</si>
  <si>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</si>
  <si>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</si>
  <si>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</si>
  <si>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</si>
  <si>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</si>
  <si>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</si>
  <si>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</si>
  <si>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</si>
  <si>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</si>
  <si>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</si>
  <si>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</si>
  <si>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</si>
  <si>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</si>
  <si>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</si>
  <si>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</si>
  <si>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</si>
  <si>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</si>
  <si>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</si>
  <si>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</si>
  <si>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</si>
  <si>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</si>
  <si>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</si>
  <si>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</si>
  <si>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</si>
  <si>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</si>
  <si>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</si>
  <si>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</si>
  <si>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</si>
  <si>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</si>
  <si>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</si>
  <si>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</si>
  <si>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</si>
  <si>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</si>
  <si>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</si>
  <si>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</si>
  <si>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</si>
  <si>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</si>
  <si>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</si>
  <si>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</si>
  <si>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</si>
  <si>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</si>
  <si>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</si>
  <si>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</si>
  <si>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</si>
  <si>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</si>
  <si>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</si>
  <si>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</si>
  <si>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</si>
  <si>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</si>
  <si>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</si>
  <si>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</si>
  <si>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</si>
  <si>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</si>
  <si>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</si>
  <si>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</si>
  <si>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</si>
  <si>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</si>
  <si>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</si>
  <si>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</si>
  <si>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</si>
  <si>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</si>
  <si>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</si>
  <si>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</si>
  <si>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</si>
  <si>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</si>
  <si>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</si>
  <si>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</si>
  <si>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</si>
  <si>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</si>
  <si>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</si>
  <si>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</si>
  <si>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</si>
  <si>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</si>
  <si>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</si>
  <si>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</si>
  <si>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</si>
  <si>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</si>
  <si>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</si>
  <si>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</si>
  <si>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</si>
  <si>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</si>
  <si>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</si>
  <si>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</si>
  <si>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</si>
  <si>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</si>
  <si>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</si>
  <si>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</si>
  <si>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</si>
  <si>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</si>
  <si>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</si>
  <si>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</si>
  <si>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</si>
  <si>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</si>
  <si>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</si>
  <si>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</si>
  <si>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</si>
  <si>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</si>
  <si>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</si>
  <si>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</si>
  <si>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</si>
  <si>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</si>
  <si>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</si>
  <si>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</si>
  <si>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</si>
  <si>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</si>
  <si>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</si>
  <si>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</si>
  <si>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</si>
  <si>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</si>
  <si>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</si>
  <si>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</si>
  <si>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</si>
  <si>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</si>
  <si>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</si>
  <si>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</si>
  <si>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</si>
  <si>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</si>
  <si>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</si>
  <si>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</si>
  <si>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</si>
  <si>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</si>
  <si>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</si>
  <si>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</si>
  <si>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</si>
  <si>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</si>
  <si>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</si>
  <si>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</si>
  <si>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</si>
  <si>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</si>
  <si>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</si>
  <si>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</si>
  <si>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</si>
  <si>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</si>
  <si>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</si>
  <si>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</si>
  <si>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</si>
  <si>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</si>
  <si>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</si>
  <si>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</si>
  <si>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</si>
  <si>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</si>
  <si>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</si>
  <si>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</si>
  <si>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</si>
  <si>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</si>
  <si>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</si>
  <si>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</si>
  <si>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</si>
  <si>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</si>
  <si>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</si>
  <si>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</si>
  <si>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</si>
  <si>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</si>
  <si>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</si>
  <si>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</si>
  <si>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</si>
  <si>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</si>
  <si>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</si>
  <si>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</si>
  <si>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</si>
  <si>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</si>
  <si>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</si>
  <si>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</si>
  <si>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</si>
  <si>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</si>
  <si>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</si>
  <si>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</si>
  <si>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</si>
  <si>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</si>
  <si>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</si>
  <si>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</si>
  <si>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</si>
  <si>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</si>
  <si>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</si>
  <si>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</si>
  <si>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</si>
  <si>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</si>
  <si>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</si>
  <si>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</si>
  <si>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</si>
  <si>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</si>
  <si>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</si>
  <si>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</si>
  <si>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</si>
  <si>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</si>
  <si>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</si>
  <si>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</si>
  <si>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</si>
  <si>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</si>
  <si>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</si>
  <si>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</si>
  <si>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</si>
  <si>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</si>
  <si>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</si>
  <si>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</si>
  <si>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</si>
  <si>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</si>
  <si>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</si>
  <si>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</si>
  <si>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</si>
  <si>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</si>
  <si>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</si>
  <si>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</si>
  <si>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</si>
  <si>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</si>
  <si>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</si>
  <si>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</si>
  <si>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</si>
  <si>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</si>
  <si>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</si>
  <si>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</si>
  <si>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</si>
  <si>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</si>
  <si>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</si>
  <si>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</si>
  <si>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</si>
  <si>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</si>
  <si>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</si>
  <si>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</si>
  <si>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</si>
  <si>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</si>
  <si>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</si>
  <si>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</si>
  <si>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</si>
  <si>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</si>
  <si>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</si>
  <si>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</si>
  <si>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</si>
  <si>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</si>
  <si>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</si>
  <si>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</si>
  <si>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</si>
  <si>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</si>
  <si>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</si>
  <si>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</si>
  <si>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</si>
  <si>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</si>
  <si>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</si>
  <si>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</si>
  <si>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</si>
  <si>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</si>
  <si>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</si>
  <si>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</si>
  <si>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</si>
  <si>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</si>
  <si>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</si>
  <si>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</si>
  <si>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</si>
  <si>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</si>
  <si>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</si>
  <si>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</si>
  <si>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</si>
  <si>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</si>
  <si>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</si>
  <si>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</si>
  <si>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</si>
  <si>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</si>
  <si>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</si>
  <si>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</si>
  <si>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</si>
  <si>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</si>
  <si>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</si>
  <si>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</si>
  <si>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</si>
  <si>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</si>
  <si>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</si>
  <si>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</si>
  <si>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</si>
  <si>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</si>
  <si>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</si>
  <si>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</si>
  <si>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</si>
  <si>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</si>
  <si>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</si>
  <si>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</si>
  <si>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</si>
  <si>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</si>
  <si>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</si>
  <si>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</si>
  <si>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</si>
  <si>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</si>
  <si>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</si>
  <si>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</si>
  <si>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</si>
  <si>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</si>
  <si>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</si>
  <si>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</si>
  <si>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</si>
  <si>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</si>
  <si>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</si>
  <si>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</si>
  <si>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</si>
  <si>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</si>
  <si>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</si>
  <si>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</si>
  <si>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</si>
  <si>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</si>
  <si>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</si>
  <si>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</si>
  <si>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</si>
  <si>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</si>
  <si>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</si>
  <si>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</si>
  <si>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</si>
  <si>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</si>
  <si>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</si>
  <si>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</si>
  <si>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</si>
  <si>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</si>
  <si>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</si>
  <si>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</si>
  <si>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</si>
  <si>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</si>
  <si>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</si>
  <si>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</si>
  <si>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</si>
  <si>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</si>
  <si>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</si>
  <si>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</si>
  <si>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</si>
  <si>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</si>
  <si>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</si>
  <si>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</si>
  <si>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</si>
  <si>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</si>
  <si>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</si>
  <si>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</si>
  <si>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</si>
  <si>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</si>
  <si>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</si>
  <si>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</si>
  <si>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</si>
  <si>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</si>
  <si>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</si>
  <si>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</si>
  <si>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</si>
  <si>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</si>
  <si>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</si>
  <si>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</si>
  <si>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</si>
  <si>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</si>
  <si>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</si>
  <si>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</si>
  <si>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</si>
  <si>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</si>
  <si>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</si>
  <si>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</si>
  <si>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</si>
  <si>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</si>
  <si>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</si>
  <si>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</si>
  <si>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</si>
  <si>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</si>
  <si>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</si>
  <si>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</si>
  <si>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</si>
  <si>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</si>
  <si>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</si>
  <si>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</si>
  <si>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</si>
  <si>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</si>
  <si>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</si>
  <si>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</si>
  <si>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</si>
  <si>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</si>
  <si>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</si>
  <si>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</si>
  <si>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</si>
  <si>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</si>
  <si>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</si>
  <si>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</si>
  <si>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</si>
  <si>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</si>
  <si>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</si>
  <si>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</si>
  <si>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</si>
  <si>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</si>
  <si>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</si>
  <si>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</si>
  <si>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</si>
  <si>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</si>
  <si>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</si>
  <si>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</si>
  <si>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</si>
  <si>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</si>
  <si>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</si>
  <si>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</si>
  <si>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</si>
  <si>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</si>
  <si>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</si>
  <si>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</si>
  <si>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</si>
  <si>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</si>
  <si>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</si>
  <si>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</si>
  <si>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</si>
  <si>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</si>
  <si>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</si>
  <si>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</si>
  <si>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</si>
  <si>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</si>
  <si>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</si>
  <si>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</si>
  <si>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</si>
  <si>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</si>
  <si>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</si>
  <si>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</si>
  <si>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</si>
  <si>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</si>
  <si>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</si>
  <si>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</si>
  <si>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</si>
  <si>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</si>
  <si>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</si>
  <si>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</si>
  <si>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</si>
  <si>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</si>
  <si>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</si>
  <si>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</si>
  <si>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</si>
  <si>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</si>
  <si>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</si>
  <si>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</si>
  <si>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</si>
  <si>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</si>
  <si>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</si>
  <si>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</si>
  <si>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</si>
  <si>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</si>
  <si>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</si>
  <si>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</si>
  <si>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</si>
  <si>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</si>
  <si>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</si>
  <si>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</si>
  <si>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</si>
  <si>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</si>
  <si>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</si>
  <si>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</si>
  <si>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</si>
  <si>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</si>
  <si>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</si>
  <si>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</si>
  <si>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</si>
  <si>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</si>
  <si>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</si>
  <si>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</si>
  <si>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</si>
  <si>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</si>
  <si>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</si>
  <si>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</si>
  <si>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</si>
  <si>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</si>
  <si>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</si>
  <si>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</si>
  <si>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</si>
  <si>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</si>
  <si>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</si>
  <si>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</si>
  <si>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</si>
  <si>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</si>
  <si>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</si>
  <si>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</si>
  <si>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</si>
  <si>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</si>
  <si>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</si>
  <si>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</si>
  <si>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</si>
  <si>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</si>
  <si>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</si>
  <si>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</si>
  <si>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</si>
  <si>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</si>
  <si>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</si>
  <si>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</si>
  <si>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</si>
  <si>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</si>
  <si>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</si>
  <si>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</si>
  <si>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</si>
  <si>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</si>
  <si>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</si>
  <si>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</si>
  <si>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</si>
  <si>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</si>
  <si>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</si>
  <si>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</si>
  <si>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</si>
  <si>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</si>
  <si>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</si>
  <si>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</si>
  <si>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</si>
  <si>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</si>
  <si>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</si>
  <si>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</si>
  <si>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</si>
  <si>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</si>
  <si>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</si>
  <si>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</si>
  <si>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</si>
  <si>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</si>
  <si>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</si>
  <si>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</si>
  <si>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</si>
  <si>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</si>
  <si>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</si>
  <si>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</si>
  <si>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</si>
  <si>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</si>
  <si>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</si>
  <si>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</si>
  <si>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</si>
  <si>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</si>
  <si>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</si>
  <si>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</si>
  <si>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</si>
  <si>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</si>
  <si>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</si>
  <si>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</si>
  <si>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</si>
  <si>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</si>
  <si>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</si>
  <si>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</si>
  <si>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</si>
  <si>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</si>
  <si>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</si>
  <si>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</si>
  <si>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</si>
  <si>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</si>
  <si>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</si>
  <si>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</si>
  <si>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</si>
  <si>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</si>
  <si>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</si>
  <si>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</si>
  <si>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</si>
  <si>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</si>
  <si>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</si>
  <si>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</si>
  <si>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</si>
  <si>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</si>
  <si>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</si>
  <si>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</si>
  <si>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</si>
  <si>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</si>
  <si>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</si>
  <si>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</si>
  <si>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</si>
  <si>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</si>
  <si>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</si>
  <si>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</si>
  <si>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</si>
  <si>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</si>
  <si>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</si>
  <si>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</si>
  <si>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</si>
  <si>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</si>
  <si>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</si>
  <si>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</si>
  <si>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</si>
  <si>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</si>
  <si>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</si>
  <si>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</si>
  <si>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</si>
  <si>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</si>
  <si>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</si>
  <si>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</si>
  <si>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</si>
  <si>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</si>
  <si>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</si>
  <si>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</si>
  <si>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</si>
  <si>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</si>
  <si>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</si>
  <si>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</si>
  <si>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</si>
  <si>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</si>
  <si>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</si>
  <si>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</si>
  <si>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</si>
  <si>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</si>
  <si>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</si>
  <si>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</si>
  <si>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</si>
  <si>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</si>
  <si>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</si>
  <si>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</si>
  <si>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</si>
  <si>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</si>
  <si>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</si>
  <si>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</si>
  <si>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</si>
  <si>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</si>
  <si>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</si>
  <si>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</si>
  <si>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</si>
  <si>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</si>
  <si>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</si>
  <si>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</si>
  <si>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</si>
  <si>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</si>
  <si>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</si>
  <si>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</si>
  <si>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</si>
  <si>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</si>
  <si>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</si>
  <si>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</si>
  <si>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</si>
  <si>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</si>
  <si>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</si>
  <si>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</si>
  <si>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</si>
  <si>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</si>
  <si>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</si>
  <si>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</si>
  <si>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</si>
  <si>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</si>
  <si>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</si>
  <si>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</si>
  <si>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</si>
  <si>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</si>
  <si>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</si>
  <si>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</si>
  <si>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</si>
  <si>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</si>
  <si>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</si>
  <si>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</si>
  <si>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</si>
  <si>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</si>
  <si>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</si>
  <si>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</si>
  <si>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</si>
  <si>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</si>
  <si>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</si>
  <si>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</si>
  <si>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</si>
  <si>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</si>
  <si>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</si>
  <si>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</si>
  <si>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</si>
  <si>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</si>
  <si>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</si>
  <si>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</si>
  <si>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</si>
  <si>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</si>
  <si>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</si>
  <si>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</si>
  <si>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</si>
  <si>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</si>
  <si>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</si>
  <si>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</si>
  <si>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</si>
  <si>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</si>
  <si>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</si>
  <si>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</si>
  <si>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</si>
  <si>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</si>
  <si>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</si>
  <si>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</si>
  <si>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</si>
  <si>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</si>
  <si>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</si>
  <si>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</si>
  <si>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</si>
  <si>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</si>
  <si>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</si>
  <si>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</si>
  <si>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</si>
  <si>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</si>
  <si>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</si>
  <si>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</si>
  <si>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</si>
  <si>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</si>
  <si>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</si>
  <si>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</si>
  <si>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</si>
  <si>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</si>
  <si>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</si>
  <si>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</si>
  <si>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</si>
  <si>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</si>
  <si>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</si>
  <si>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</si>
  <si>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</si>
  <si>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</si>
  <si>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</si>
  <si>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</si>
  <si>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</si>
  <si>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</si>
  <si>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</si>
  <si>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</si>
  <si>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</si>
  <si>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</si>
  <si>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</si>
  <si>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</si>
  <si>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</si>
  <si>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</si>
  <si>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</si>
  <si>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</si>
  <si>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</si>
  <si>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</si>
  <si>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</si>
  <si>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</si>
  <si>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</si>
  <si>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</si>
  <si>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</si>
  <si>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</si>
  <si>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</si>
  <si>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</si>
  <si>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</si>
  <si>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</si>
  <si>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</si>
  <si>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</si>
  <si>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</si>
  <si>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</si>
  <si>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</si>
  <si>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</si>
  <si>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</si>
  <si>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</si>
  <si>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</si>
  <si>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</si>
  <si>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</si>
  <si>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</si>
  <si>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</si>
  <si>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</si>
  <si>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</si>
  <si>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</si>
  <si>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</si>
  <si>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</si>
  <si>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</si>
  <si>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</si>
  <si>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</si>
  <si>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</si>
  <si>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</si>
  <si>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</si>
  <si>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</si>
  <si>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</si>
  <si>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</si>
  <si>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</si>
  <si>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</si>
  <si>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</si>
  <si>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</si>
  <si>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</si>
  <si>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</si>
  <si>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</si>
  <si>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</si>
  <si>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</si>
  <si>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</si>
  <si>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</si>
  <si>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</si>
  <si>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</si>
  <si>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</si>
  <si>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</si>
  <si>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</si>
  <si>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</si>
  <si>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</si>
  <si>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</si>
  <si>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</si>
  <si>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</si>
  <si>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</si>
  <si>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</si>
  <si>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</si>
  <si>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</si>
  <si>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</si>
  <si>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</si>
  <si>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</si>
  <si>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</si>
  <si>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</si>
  <si>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</si>
  <si>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</si>
  <si>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</si>
  <si>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</si>
  <si>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</si>
  <si>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</si>
  <si>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</si>
  <si>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</si>
  <si>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</si>
  <si>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</si>
  <si>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</si>
  <si>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</si>
  <si>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</si>
  <si>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</si>
  <si>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</si>
  <si>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</si>
  <si>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</si>
  <si>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</si>
  <si>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</si>
  <si>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</si>
  <si>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</si>
  <si>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</si>
  <si>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</si>
  <si>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</si>
  <si>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</si>
  <si>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</si>
  <si>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</si>
  <si>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</si>
  <si>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</si>
  <si>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</si>
  <si>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</si>
  <si>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</si>
  <si>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</si>
  <si>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</si>
  <si>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</si>
  <si>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</si>
  <si>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</si>
  <si>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</si>
  <si>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</si>
  <si>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</si>
  <si>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</si>
  <si>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</si>
  <si>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</si>
  <si>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</si>
  <si>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</si>
  <si>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</si>
  <si>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</si>
  <si>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</si>
  <si>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</si>
  <si>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</si>
  <si>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</si>
  <si>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</si>
  <si>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</si>
  <si>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</si>
  <si>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</si>
  <si>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</si>
  <si>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</si>
  <si>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</si>
  <si>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</si>
  <si>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</si>
  <si>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</si>
  <si>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</si>
  <si>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</si>
  <si>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</si>
  <si>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</si>
  <si>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</si>
  <si>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</si>
  <si>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</si>
  <si>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</si>
  <si>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</si>
  <si>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</si>
  <si>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</si>
  <si>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</si>
  <si>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</si>
  <si>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</si>
  <si>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</si>
  <si>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</si>
  <si>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</si>
  <si>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</si>
  <si>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</si>
  <si>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</si>
  <si>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</si>
  <si>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</si>
  <si>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</si>
  <si>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</si>
  <si>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</si>
  <si>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</si>
  <si>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</si>
  <si>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</si>
  <si>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</si>
  <si>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</si>
  <si>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</si>
  <si>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</si>
  <si>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</si>
  <si>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</si>
  <si>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</si>
  <si>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</si>
  <si>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</si>
  <si>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</si>
  <si>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</si>
  <si>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</si>
  <si>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</si>
  <si>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</si>
  <si>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</si>
  <si>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</si>
  <si>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</si>
  <si>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</si>
  <si>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</si>
  <si>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</si>
  <si>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</si>
  <si>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</si>
  <si>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</si>
  <si>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</si>
  <si>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</si>
  <si>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</si>
  <si>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</si>
  <si>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</si>
  <si>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</si>
  <si>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</si>
  <si>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</si>
  <si>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</si>
  <si>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</si>
  <si>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</si>
  <si>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</si>
  <si>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</si>
  <si>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</si>
  <si>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</si>
  <si>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</si>
  <si>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</si>
  <si>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</si>
  <si>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</si>
  <si>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</si>
  <si>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</si>
  <si>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</si>
  <si>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</si>
  <si>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</si>
  <si>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</si>
  <si>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</si>
  <si>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</si>
  <si>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</si>
  <si>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</si>
  <si>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</si>
  <si>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</si>
  <si>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</si>
  <si>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</si>
  <si>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</si>
  <si>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</si>
  <si>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</si>
  <si>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</si>
  <si>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</si>
  <si>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</si>
  <si>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</si>
  <si>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</si>
  <si>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</si>
  <si>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</si>
  <si>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</si>
  <si>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</si>
  <si>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</si>
  <si>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</si>
  <si>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</si>
  <si>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</si>
  <si>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</si>
  <si>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</si>
  <si>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</si>
  <si>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</si>
  <si>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</si>
  <si>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</si>
  <si>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</si>
  <si>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</si>
  <si>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</si>
  <si>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</si>
  <si>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</si>
  <si>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</si>
  <si>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</si>
  <si>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</si>
  <si>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</si>
  <si>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</si>
  <si>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</si>
  <si>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</si>
  <si>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</si>
  <si>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</si>
  <si>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</si>
  <si>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</si>
  <si>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</si>
  <si>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</si>
  <si>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</si>
  <si>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</si>
  <si>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</si>
  <si>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</si>
  <si>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</si>
  <si>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</si>
  <si>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</si>
  <si>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</si>
  <si>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</si>
  <si>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</si>
  <si>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</si>
  <si>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</si>
  <si>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</si>
  <si>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</si>
  <si>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</si>
  <si>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</si>
  <si>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</si>
  <si>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</si>
  <si>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</si>
  <si>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</si>
  <si>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</si>
  <si>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</si>
  <si>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</si>
  <si>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</si>
  <si>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</si>
  <si>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</si>
  <si>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</si>
  <si>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</si>
  <si>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</si>
  <si>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</si>
  <si>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</si>
  <si>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</si>
  <si>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</si>
  <si>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</si>
  <si>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</si>
  <si>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</si>
  <si>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</si>
  <si>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</si>
  <si>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</si>
  <si>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</si>
  <si>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</si>
  <si>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</si>
  <si>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</si>
  <si>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</si>
  <si>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</si>
  <si>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</si>
  <si>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</si>
  <si>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</si>
  <si>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</si>
  <si>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</si>
  <si>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</si>
  <si>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</si>
  <si>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</si>
  <si>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</si>
  <si>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</si>
  <si>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</si>
  <si>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</si>
  <si>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</si>
  <si>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</si>
  <si>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</si>
  <si>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</si>
  <si>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</si>
  <si>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</si>
  <si>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</si>
  <si>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</si>
  <si>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</si>
  <si>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</si>
  <si>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</si>
  <si>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</si>
  <si>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</si>
  <si>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</si>
  <si>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</si>
  <si>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</si>
  <si>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</si>
  <si>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</si>
  <si>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</si>
  <si>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</si>
  <si>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</si>
  <si>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</si>
  <si>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</si>
  <si>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</si>
  <si>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</si>
  <si>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</si>
  <si>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</si>
  <si>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</si>
  <si>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</si>
  <si>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</si>
  <si>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</si>
  <si>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</si>
  <si>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</si>
  <si>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</si>
  <si>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</si>
  <si>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</si>
  <si>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</si>
  <si>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</si>
  <si>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</si>
  <si>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</si>
  <si>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</si>
  <si>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</si>
  <si>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</si>
  <si>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</si>
  <si>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</si>
  <si>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</si>
  <si>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</si>
  <si>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</si>
  <si>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</si>
  <si>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</si>
  <si>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</si>
  <si>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</si>
  <si>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</si>
  <si>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</si>
  <si>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</si>
  <si>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</si>
  <si>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</si>
  <si>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</si>
  <si>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</si>
  <si>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</si>
  <si>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</si>
  <si>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</si>
  <si>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</si>
  <si>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</si>
  <si>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</si>
  <si>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</si>
  <si>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</si>
  <si>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</si>
  <si>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</si>
  <si>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</si>
  <si>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</si>
  <si>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</si>
  <si>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</si>
  <si>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</si>
  <si>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</si>
  <si>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</si>
  <si>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</si>
  <si>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</si>
  <si>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</si>
  <si>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</si>
  <si>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</si>
  <si>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</si>
  <si>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</si>
  <si>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</si>
  <si>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</si>
  <si>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</si>
  <si>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</si>
  <si>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</si>
  <si>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</si>
  <si>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</si>
  <si>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</si>
  <si>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</si>
  <si>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</si>
  <si>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</si>
  <si>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</si>
  <si>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</si>
  <si>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</si>
  <si>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</si>
  <si>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</si>
  <si>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</si>
  <si>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</si>
  <si>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</si>
  <si>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</si>
  <si>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</si>
  <si>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</si>
  <si>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</si>
  <si>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</si>
  <si>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</si>
  <si>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</si>
  <si>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</si>
  <si>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</si>
  <si>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</si>
  <si>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</si>
  <si>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</si>
  <si>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</si>
  <si>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</si>
  <si>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</si>
  <si>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</si>
  <si>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</si>
  <si>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</si>
  <si>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</si>
  <si>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</si>
  <si>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</si>
  <si>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</si>
  <si>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</si>
  <si>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</si>
  <si>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</si>
  <si>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</si>
  <si>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</si>
  <si>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</si>
  <si>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</si>
  <si>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</si>
  <si>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</si>
  <si>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</si>
  <si>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</si>
  <si>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</si>
  <si>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</si>
  <si>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</si>
  <si>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</si>
  <si>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</si>
  <si>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</si>
  <si>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</si>
  <si>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</si>
  <si>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</si>
  <si>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</si>
  <si>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</si>
  <si>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</si>
  <si>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</si>
  <si>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</si>
  <si>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</si>
  <si>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</si>
  <si>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</si>
  <si>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</si>
  <si>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</si>
  <si>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</si>
  <si>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</si>
  <si>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</si>
  <si>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</si>
  <si>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</si>
  <si>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</si>
  <si>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</si>
  <si>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</si>
  <si>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</si>
  <si>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</si>
  <si>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</si>
  <si>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</si>
  <si>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</si>
  <si>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</si>
  <si>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</si>
  <si>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</si>
  <si>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</si>
  <si>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</si>
  <si>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</si>
  <si>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</si>
  <si>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</si>
  <si>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</si>
  <si>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</si>
  <si>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</si>
  <si>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</si>
  <si>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</si>
  <si>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</si>
  <si>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</si>
  <si>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</si>
  <si>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</si>
  <si>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</si>
  <si>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</si>
  <si>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</si>
  <si>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</si>
  <si>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</si>
  <si>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</si>
  <si>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</si>
  <si>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</si>
  <si>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</si>
  <si>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</si>
  <si>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</si>
  <si>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</si>
  <si>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</si>
  <si>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</si>
  <si>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</si>
  <si>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</si>
  <si>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</si>
  <si>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</si>
  <si>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</si>
  <si>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</si>
  <si>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</si>
  <si>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</si>
  <si>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</si>
  <si>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</si>
  <si>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</si>
  <si>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</si>
  <si>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</si>
  <si>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</si>
  <si>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</si>
  <si>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</si>
  <si>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</si>
  <si>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</si>
  <si>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</si>
  <si>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</si>
  <si>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</si>
  <si>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</si>
  <si>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</si>
  <si>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</si>
  <si>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</si>
  <si>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</si>
  <si>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</si>
  <si>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</si>
  <si>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</si>
  <si>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</si>
  <si>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</si>
  <si>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</si>
  <si>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</si>
  <si>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</si>
  <si>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</si>
  <si>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</si>
  <si>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</si>
  <si>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</si>
  <si>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</si>
  <si>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</si>
  <si>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</si>
  <si>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</si>
  <si>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</si>
  <si>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</si>
  <si>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</si>
  <si>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</si>
  <si>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</si>
  <si>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</si>
  <si>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</si>
  <si>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</si>
  <si>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</si>
  <si>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</si>
  <si>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</si>
  <si>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</si>
  <si>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</si>
  <si>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</si>
  <si>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</si>
  <si>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</si>
  <si>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</si>
  <si>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</si>
  <si>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</si>
  <si>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</si>
  <si>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</si>
  <si>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</si>
  <si>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</si>
  <si>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</si>
  <si>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</si>
  <si>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</si>
  <si>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</si>
  <si>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</si>
  <si>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</si>
  <si>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</si>
  <si>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</si>
  <si>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</si>
  <si>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</si>
  <si>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</si>
  <si>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</si>
  <si>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</si>
  <si>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</si>
  <si>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</si>
  <si>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</si>
  <si>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</si>
  <si>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</si>
  <si>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</si>
  <si>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</si>
  <si>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</si>
  <si>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</si>
  <si>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</si>
  <si>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</si>
  <si>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</si>
  <si>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</si>
  <si>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</si>
  <si>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</si>
  <si>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</si>
  <si>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</si>
  <si>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</si>
  <si>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</si>
  <si>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</si>
  <si>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</si>
  <si>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</si>
  <si>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</si>
  <si>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</si>
  <si>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</si>
  <si>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</si>
  <si>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</si>
  <si>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</si>
  <si>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</si>
  <si>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</si>
  <si>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</si>
  <si>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</si>
  <si>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</si>
  <si>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</si>
  <si>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</si>
  <si>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</si>
  <si>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</si>
  <si>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</si>
  <si>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</si>
  <si>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</si>
  <si>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</si>
  <si>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</si>
  <si>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</si>
  <si>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</si>
  <si>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</si>
  <si>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</si>
  <si>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</si>
  <si>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</si>
  <si>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</si>
  <si>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</si>
  <si>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</si>
  <si>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</si>
  <si>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</si>
  <si>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</si>
  <si>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</si>
  <si>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</si>
  <si>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</si>
  <si>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</si>
  <si>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</si>
  <si>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</si>
  <si>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</si>
  <si>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</si>
  <si>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</si>
  <si>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</si>
  <si>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</si>
  <si>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</si>
  <si>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</si>
  <si>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</si>
  <si>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</si>
  <si>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</si>
  <si>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</si>
  <si>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</si>
  <si>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</si>
  <si>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</si>
  <si>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</si>
  <si>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</si>
  <si>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</si>
  <si>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</si>
  <si>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</si>
  <si>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</si>
  <si>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</si>
  <si>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</si>
  <si>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</si>
  <si>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</si>
  <si>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</si>
  <si>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</si>
  <si>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</si>
  <si>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</si>
  <si>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</si>
  <si>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</si>
  <si>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</si>
  <si>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</si>
  <si>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</si>
  <si>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</si>
  <si>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</si>
  <si>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</si>
  <si>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</si>
  <si>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</si>
  <si>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</si>
  <si>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</si>
  <si>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</si>
  <si>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</si>
  <si>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</si>
  <si>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</si>
  <si>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</si>
  <si>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</si>
  <si>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</si>
  <si>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</si>
  <si>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</si>
  <si>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</si>
  <si>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</si>
  <si>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</si>
  <si>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</si>
  <si>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</si>
  <si>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</si>
  <si>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</si>
  <si>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</si>
  <si>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</si>
  <si>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</si>
  <si>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</si>
  <si>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</si>
  <si>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</si>
  <si>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</si>
  <si>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</si>
  <si>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</si>
  <si>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</si>
  <si>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</si>
  <si>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</si>
  <si>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</si>
  <si>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</si>
  <si>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</si>
  <si>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</si>
  <si>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</si>
  <si>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</si>
  <si>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</si>
  <si>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</si>
  <si>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</si>
  <si>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</si>
  <si>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</si>
  <si>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</si>
  <si>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</si>
  <si>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</si>
  <si>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</si>
  <si>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</si>
  <si>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</si>
  <si>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</si>
  <si>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</si>
  <si>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</si>
  <si>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</si>
  <si>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</si>
  <si>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</si>
  <si>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</si>
  <si>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</si>
  <si>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</si>
  <si>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</si>
  <si>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</si>
  <si>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</si>
  <si>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</si>
  <si>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</si>
  <si>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</si>
  <si>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</si>
  <si>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</si>
  <si>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</si>
  <si>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</si>
  <si>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</si>
  <si>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</si>
  <si>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</si>
  <si>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</si>
  <si>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</si>
  <si>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</si>
  <si>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</si>
  <si>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</si>
  <si>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</si>
  <si>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</si>
  <si>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</si>
  <si>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</si>
  <si>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</si>
  <si>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</si>
  <si>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</si>
  <si>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</si>
  <si>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</si>
  <si>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</si>
  <si>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</si>
  <si>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</si>
  <si>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</si>
  <si>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</si>
  <si>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</si>
  <si>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</si>
  <si>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</si>
  <si>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</si>
  <si>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</si>
  <si>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</si>
  <si>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</si>
  <si>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</si>
  <si>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</si>
  <si>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</si>
  <si>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</si>
  <si>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</si>
  <si>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</si>
  <si>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</si>
  <si>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</si>
  <si>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</si>
  <si>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</si>
  <si>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</si>
  <si>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</si>
  <si>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</si>
  <si>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</si>
  <si>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</si>
  <si>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</si>
  <si>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</si>
  <si>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</si>
  <si>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</si>
  <si>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</si>
  <si>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</si>
  <si>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</si>
  <si>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</si>
  <si>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</si>
  <si>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</si>
  <si>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</si>
  <si>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</si>
  <si>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</si>
  <si>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</si>
  <si>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</si>
  <si>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</si>
  <si>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</si>
  <si>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</si>
  <si>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</si>
  <si>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</si>
  <si>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</si>
  <si>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</si>
  <si>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</si>
  <si>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</si>
  <si>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</si>
  <si>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</si>
  <si>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</si>
  <si>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</si>
  <si>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</si>
  <si>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</si>
  <si>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</si>
  <si>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</si>
  <si>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</si>
  <si>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</si>
  <si>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</si>
  <si>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</si>
  <si>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</si>
  <si>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</si>
  <si>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</si>
  <si>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</si>
  <si>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</si>
  <si>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</si>
  <si>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</si>
  <si>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</si>
  <si>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</si>
  <si>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</si>
  <si>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</si>
  <si>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</si>
  <si>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</si>
  <si>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</si>
  <si>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</si>
  <si>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</si>
  <si>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</si>
  <si>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</si>
  <si>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</si>
  <si>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</si>
  <si>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</si>
  <si>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</si>
  <si>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</si>
  <si>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</si>
  <si>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</si>
  <si>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</si>
  <si>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</si>
  <si>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</si>
  <si>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</si>
  <si>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</si>
  <si>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</si>
  <si>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</si>
  <si>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</si>
  <si>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</si>
  <si>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</si>
  <si>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</si>
  <si>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</si>
  <si>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</si>
  <si>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</si>
  <si>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</si>
  <si>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</si>
  <si>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</si>
  <si>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</si>
  <si>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</si>
  <si>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</si>
  <si>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</si>
  <si>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</si>
  <si>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</si>
  <si>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</si>
  <si>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</si>
  <si>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</si>
  <si>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</si>
  <si>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</si>
  <si>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</si>
  <si>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</si>
  <si>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</si>
  <si>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</si>
  <si>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</si>
  <si>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</si>
  <si>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</si>
  <si>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</si>
  <si>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</si>
  <si>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</si>
  <si>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</si>
  <si>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</si>
  <si>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</si>
  <si>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</si>
  <si>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</si>
  <si>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</si>
  <si>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</si>
  <si>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</si>
  <si>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</si>
  <si>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</si>
  <si>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</si>
  <si>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</si>
  <si>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</si>
  <si>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</si>
  <si>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</si>
  <si>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</si>
  <si>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</si>
  <si>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</si>
  <si>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</si>
  <si>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</si>
  <si>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</si>
  <si>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</si>
  <si>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</si>
  <si>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</si>
  <si>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</si>
  <si>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</si>
  <si>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</si>
  <si>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</si>
  <si>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</si>
  <si>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</si>
  <si>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</si>
  <si>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</si>
  <si>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</si>
  <si>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</si>
  <si>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</si>
  <si>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</si>
  <si>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</si>
  <si>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</si>
  <si>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</si>
  <si>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</si>
  <si>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</si>
  <si>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</si>
  <si>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</si>
  <si>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</si>
  <si>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</si>
  <si>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</si>
  <si>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</si>
  <si>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</si>
  <si>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</si>
  <si>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</si>
  <si>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</si>
  <si>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</si>
  <si>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</si>
  <si>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</si>
  <si>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</si>
  <si>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</si>
  <si>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</si>
  <si>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</si>
  <si>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</si>
  <si>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</si>
  <si>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</si>
  <si>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</si>
  <si>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</si>
  <si>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</si>
  <si>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</si>
  <si>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</si>
  <si>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</si>
  <si>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</si>
  <si>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</si>
  <si>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</si>
  <si>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</si>
  <si>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</si>
  <si>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</si>
  <si>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</si>
  <si>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</si>
  <si>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</si>
  <si>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</si>
  <si>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</si>
  <si>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</si>
  <si>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</si>
  <si>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</si>
  <si>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</si>
  <si>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</si>
  <si>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</si>
  <si>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</si>
  <si>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</si>
  <si>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</si>
  <si>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</si>
  <si>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</si>
  <si>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</si>
  <si>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</si>
  <si>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</si>
  <si>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</si>
  <si>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</si>
  <si>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</si>
  <si>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</si>
  <si>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</si>
  <si>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</si>
  <si>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</si>
  <si>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</si>
  <si>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</si>
  <si>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</si>
  <si>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</si>
  <si>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</si>
  <si>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</si>
  <si>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</si>
  <si>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</si>
  <si>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</si>
  <si>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</si>
  <si>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</si>
  <si>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</si>
  <si>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</si>
  <si>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</si>
  <si>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</si>
  <si>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</si>
  <si>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</si>
  <si>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</si>
  <si>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</si>
  <si>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</si>
  <si>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</si>
  <si>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</si>
  <si>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</si>
  <si>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</si>
  <si>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</si>
  <si>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</si>
  <si>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</si>
  <si>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</si>
  <si>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</si>
  <si>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</si>
  <si>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</si>
  <si>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</si>
  <si>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</si>
  <si>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</si>
  <si>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</si>
  <si>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</si>
  <si>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</si>
  <si>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</si>
  <si>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</si>
  <si>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</si>
  <si>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</si>
  <si>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</si>
  <si>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</si>
  <si>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</si>
  <si>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</si>
  <si>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</si>
  <si>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</si>
  <si>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</si>
  <si>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</si>
  <si>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</si>
  <si>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</si>
  <si>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</si>
  <si>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</si>
  <si>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</si>
  <si>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</si>
  <si>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</si>
  <si>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</si>
  <si>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</si>
  <si>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</si>
  <si>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</si>
  <si>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</si>
  <si>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</si>
  <si>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</si>
  <si>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</si>
  <si>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</si>
  <si>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</si>
  <si>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</si>
  <si>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</si>
  <si>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</si>
  <si>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</si>
  <si>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</si>
  <si>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</si>
  <si>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</si>
  <si>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</si>
  <si>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</si>
  <si>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</si>
  <si>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</si>
  <si>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</si>
  <si>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</si>
  <si>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</si>
  <si>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</si>
  <si>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</si>
  <si>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</si>
  <si>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</si>
  <si>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</si>
  <si>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</si>
  <si>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</si>
  <si>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</si>
  <si>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</si>
  <si>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</si>
  <si>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</si>
  <si>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</si>
  <si>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</si>
  <si>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</si>
  <si>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</si>
  <si>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</si>
  <si>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</si>
  <si>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</si>
  <si>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</si>
  <si>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</si>
  <si>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</si>
  <si>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</si>
  <si>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</si>
  <si>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</si>
  <si>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</si>
  <si>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</si>
  <si>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</si>
  <si>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</si>
  <si>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</si>
  <si>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</si>
  <si>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</si>
  <si>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</si>
  <si>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</si>
  <si>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</si>
  <si>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</si>
  <si>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</si>
  <si>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</si>
  <si>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</si>
  <si>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</si>
  <si>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</si>
  <si>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</si>
  <si>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</si>
  <si>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</si>
  <si>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</si>
  <si>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</si>
  <si>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</si>
  <si>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</si>
  <si>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</si>
  <si>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</si>
  <si>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</si>
  <si>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</si>
  <si>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</si>
  <si>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</si>
  <si>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</si>
  <si>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</si>
  <si>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</si>
  <si>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</si>
  <si>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</si>
  <si>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</si>
  <si>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</si>
  <si>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</si>
  <si>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</si>
  <si>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</si>
  <si>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</si>
  <si>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</si>
  <si>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</si>
  <si>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</si>
  <si>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</si>
  <si>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</si>
  <si>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</si>
  <si>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</si>
  <si>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</si>
  <si>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</si>
  <si>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</si>
  <si>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</si>
  <si>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</si>
  <si>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</si>
  <si>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</si>
  <si>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</si>
  <si>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</si>
  <si>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</si>
  <si>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</si>
  <si>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</si>
  <si>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</si>
  <si>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</si>
  <si>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</si>
  <si>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</si>
  <si>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</si>
  <si>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</si>
  <si>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</si>
  <si>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</si>
  <si>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</si>
  <si>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</si>
  <si>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</si>
  <si>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</si>
  <si>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</si>
  <si>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</si>
  <si>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</si>
  <si>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</si>
  <si>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</si>
  <si>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</si>
  <si>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</si>
  <si>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</si>
  <si>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</si>
  <si>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</si>
  <si>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</si>
  <si>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</si>
  <si>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</si>
  <si>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</si>
  <si>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</si>
  <si>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</si>
  <si>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</si>
  <si>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</si>
  <si>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</si>
  <si>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</si>
  <si>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</si>
  <si>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</si>
  <si>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</si>
  <si>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</si>
  <si>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</si>
  <si>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</si>
  <si>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</si>
  <si>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</si>
  <si>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</si>
  <si>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</si>
  <si>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</si>
  <si>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</si>
  <si>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</si>
  <si>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</si>
  <si>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</si>
  <si>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</si>
  <si>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</si>
  <si>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</si>
  <si>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</si>
  <si>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</si>
  <si>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</si>
  <si>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</si>
  <si>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</si>
  <si>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</si>
  <si>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</si>
  <si>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</si>
  <si>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</si>
  <si>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</si>
  <si>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</si>
  <si>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</si>
  <si>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</si>
  <si>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</si>
  <si>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</si>
  <si>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</si>
  <si>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</si>
  <si>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</si>
  <si>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</si>
  <si>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</si>
  <si>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</si>
  <si>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</si>
  <si>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</si>
  <si>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</si>
  <si>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</si>
  <si>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</si>
  <si>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</si>
  <si>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</si>
  <si>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</si>
  <si>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</si>
  <si>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</si>
  <si>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</si>
  <si>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</si>
  <si>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</si>
  <si>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</si>
  <si>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</si>
  <si>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</si>
  <si>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</si>
  <si>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</si>
  <si>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</si>
  <si>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</si>
  <si>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</si>
  <si>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</si>
  <si>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</si>
  <si>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</si>
  <si>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</si>
  <si>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</si>
  <si>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</si>
  <si>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</si>
  <si>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</si>
  <si>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</si>
  <si>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</si>
  <si>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</si>
  <si>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</si>
  <si>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</si>
  <si>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</si>
  <si>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</si>
  <si>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</si>
  <si>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</si>
  <si>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</si>
  <si>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</si>
  <si>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</si>
  <si>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</si>
  <si>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</si>
  <si>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</si>
  <si>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</si>
  <si>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</si>
  <si>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</si>
  <si>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</si>
  <si>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</si>
  <si>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</si>
  <si>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</si>
  <si>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</si>
  <si>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</si>
  <si>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</si>
  <si>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</si>
  <si>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</si>
  <si>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</si>
  <si>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</si>
  <si>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</si>
  <si>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</si>
  <si>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</si>
  <si>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</si>
  <si>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</si>
  <si>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</si>
  <si>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</si>
  <si>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</si>
  <si>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</si>
  <si>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</si>
  <si>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</si>
  <si>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</si>
  <si>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</si>
  <si>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</si>
  <si>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</si>
  <si>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</si>
  <si>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</si>
  <si>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</si>
  <si>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</si>
  <si>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</si>
  <si>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</si>
  <si>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</si>
  <si>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</si>
  <si>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</si>
  <si>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</si>
  <si>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</si>
  <si>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</si>
  <si>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</si>
  <si>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</si>
  <si>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</si>
  <si>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</si>
  <si>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</si>
  <si>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</si>
  <si>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</si>
  <si>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</si>
  <si>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</si>
  <si>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</si>
  <si>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</si>
  <si>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</si>
  <si>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</si>
  <si>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</si>
  <si>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</si>
  <si>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</si>
  <si>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</si>
  <si>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</si>
  <si>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</si>
  <si>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</si>
  <si>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</si>
  <si>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</si>
  <si>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</si>
  <si>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</si>
  <si>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</si>
  <si>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</si>
  <si>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</si>
  <si>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</si>
  <si>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</si>
  <si>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</si>
  <si>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</si>
  <si>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</si>
  <si>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</si>
  <si>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</si>
  <si>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</si>
  <si>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</si>
  <si>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</si>
  <si>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</si>
  <si>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</si>
  <si>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</si>
  <si>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</si>
  <si>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</si>
  <si>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</si>
  <si>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</si>
  <si>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</si>
  <si>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</si>
  <si>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</si>
  <si>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</si>
  <si>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</si>
  <si>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</si>
  <si>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</si>
  <si>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</si>
  <si>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</si>
  <si>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</si>
  <si>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</si>
  <si>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</si>
  <si>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</si>
  <si>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</si>
  <si>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</si>
  <si>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</si>
  <si>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</si>
  <si>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</si>
  <si>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</si>
  <si>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</si>
  <si>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</si>
  <si>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</si>
  <si>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</si>
  <si>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</si>
  <si>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</si>
  <si>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</si>
  <si>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</si>
  <si>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</si>
  <si>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</si>
  <si>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</si>
  <si>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</si>
  <si>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</si>
  <si>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</si>
  <si>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</si>
  <si>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</si>
  <si>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</si>
  <si>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</si>
  <si>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</si>
  <si>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</si>
  <si>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</si>
  <si>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</si>
  <si>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</si>
  <si>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</si>
  <si>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</si>
  <si>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</si>
  <si>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</si>
  <si>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</si>
  <si>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</si>
  <si>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</si>
  <si>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</si>
  <si>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</si>
  <si>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</si>
  <si>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</si>
  <si>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</si>
  <si>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</si>
  <si>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</si>
  <si>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</si>
  <si>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</si>
  <si>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</si>
  <si>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</si>
  <si>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</si>
  <si>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</si>
  <si>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</si>
  <si>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</si>
  <si>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</si>
  <si>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</si>
  <si>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</si>
  <si>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</si>
  <si>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</si>
  <si>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</si>
  <si>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</si>
  <si>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</si>
  <si>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</si>
  <si>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</si>
  <si>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</si>
  <si>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</si>
  <si>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</si>
  <si>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</si>
  <si>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</si>
  <si>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</si>
  <si>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</si>
  <si>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</si>
  <si>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</si>
  <si>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</si>
  <si>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</si>
  <si>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</si>
  <si>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</si>
  <si>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</si>
  <si>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</si>
  <si>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</si>
  <si>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</si>
  <si>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</si>
  <si>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</si>
  <si>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</si>
  <si>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</si>
  <si>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</si>
  <si>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</si>
  <si>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</si>
  <si>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</si>
  <si>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</si>
  <si>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</si>
  <si>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</si>
  <si>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</si>
  <si>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</si>
  <si>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</si>
  <si>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</si>
  <si>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</si>
  <si>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</si>
  <si>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</si>
  <si>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</si>
  <si>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</si>
  <si>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</si>
  <si>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</si>
  <si>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</si>
  <si>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</si>
  <si>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</si>
  <si>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</si>
  <si>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</si>
  <si>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</si>
  <si>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</si>
  <si>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</si>
  <si>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</si>
  <si>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</si>
  <si>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</si>
  <si>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</si>
  <si>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</si>
  <si>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</si>
  <si>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</si>
  <si>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</si>
  <si>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</si>
  <si>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</si>
  <si>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</si>
  <si>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</si>
  <si>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</si>
  <si>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</si>
  <si>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</si>
  <si>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</si>
  <si>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</si>
  <si>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</si>
  <si>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</si>
  <si>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</si>
  <si>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</si>
  <si>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</si>
  <si>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</si>
  <si>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</si>
  <si>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</si>
  <si>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</si>
  <si>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</si>
  <si>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</si>
  <si>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</si>
  <si>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</si>
  <si>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</si>
  <si>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</si>
  <si>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</si>
  <si>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</si>
  <si>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</si>
  <si>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</si>
  <si>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</si>
  <si>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</si>
  <si>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</si>
  <si>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</si>
  <si>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</si>
  <si>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</si>
  <si>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</si>
  <si>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</si>
  <si>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</si>
  <si>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</si>
  <si>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</si>
  <si>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</si>
  <si>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</si>
  <si>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</si>
  <si>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</si>
  <si>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</si>
  <si>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</si>
  <si>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</si>
  <si>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</si>
  <si>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</si>
  <si>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</si>
  <si>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</si>
  <si>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</si>
  <si>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</si>
  <si>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</si>
  <si>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</si>
  <si>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</si>
  <si>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</si>
  <si>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</si>
  <si>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</si>
  <si>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</si>
  <si>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</si>
  <si>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</si>
  <si>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</si>
  <si>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</si>
  <si>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</si>
  <si>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</si>
  <si>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</si>
  <si>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</si>
  <si>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</si>
  <si>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</si>
  <si>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</si>
  <si>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</si>
  <si>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</si>
  <si>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</si>
  <si>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</si>
  <si>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</si>
  <si>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</si>
  <si>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</si>
  <si>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</si>
  <si>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</si>
  <si>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</si>
  <si>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</si>
  <si>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</si>
  <si>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</si>
  <si>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</si>
  <si>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</si>
  <si>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</si>
  <si>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</si>
  <si>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</si>
  <si>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</si>
  <si>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</si>
  <si>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</si>
  <si>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</si>
  <si>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</si>
  <si>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</si>
  <si>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</si>
  <si>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</si>
  <si>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</si>
  <si>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</si>
  <si>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</si>
  <si>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</si>
  <si>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</si>
  <si>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</si>
  <si>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</si>
  <si>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</si>
  <si>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</si>
  <si>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</si>
  <si>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</si>
  <si>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</si>
  <si>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</si>
  <si>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</si>
  <si>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</si>
  <si>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</si>
  <si>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</si>
  <si>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</si>
  <si>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</si>
  <si>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</si>
  <si>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</si>
  <si>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</si>
  <si>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</si>
  <si>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</si>
  <si>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</si>
  <si>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</si>
  <si>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</si>
  <si>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</si>
  <si>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</si>
  <si>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</si>
  <si>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</si>
  <si>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</si>
  <si>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</si>
  <si>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</si>
  <si>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</si>
  <si>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</si>
  <si>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</si>
  <si>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</si>
  <si>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</si>
  <si>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</si>
  <si>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</si>
  <si>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</si>
  <si>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</si>
  <si>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</si>
  <si>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</si>
  <si>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</si>
  <si>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</si>
  <si>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</si>
  <si>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</si>
  <si>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</si>
  <si>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</si>
  <si>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</si>
  <si>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</si>
  <si>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</si>
  <si>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</si>
  <si>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</si>
  <si>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</si>
  <si>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</si>
  <si>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</si>
  <si>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</si>
  <si>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</si>
  <si>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</si>
  <si>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</si>
  <si>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</si>
  <si>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</si>
  <si>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</si>
  <si>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</si>
  <si>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</si>
  <si>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</si>
  <si>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</si>
  <si>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</si>
  <si>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</si>
  <si>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</si>
  <si>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</si>
  <si>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</si>
  <si>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</si>
  <si>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</si>
  <si>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</si>
  <si>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</si>
  <si>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</si>
  <si>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</si>
  <si>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</si>
  <si>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</si>
  <si>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</si>
  <si>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</si>
  <si>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</si>
  <si>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</si>
  <si>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</si>
  <si>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</si>
  <si>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</si>
  <si>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</si>
  <si>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</si>
  <si>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</si>
  <si>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</si>
  <si>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</si>
  <si>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</si>
  <si>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</si>
  <si>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</si>
  <si>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</si>
  <si>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</si>
  <si>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</si>
  <si>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</si>
  <si>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</si>
  <si>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</si>
  <si>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</si>
  <si>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</si>
  <si>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</si>
  <si>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</si>
  <si>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</si>
  <si>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</si>
  <si>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</si>
  <si>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</si>
  <si>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</si>
  <si>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</si>
  <si>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</si>
  <si>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</si>
  <si>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</si>
  <si>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</si>
  <si>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</si>
  <si>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</si>
  <si>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</si>
  <si>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</si>
  <si>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</si>
  <si>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</si>
  <si>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</si>
  <si>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</si>
  <si>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</si>
  <si>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</si>
  <si>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</si>
  <si>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</si>
  <si>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</si>
  <si>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</si>
  <si>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</si>
  <si>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</si>
  <si>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</si>
  <si>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</si>
  <si>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</si>
  <si>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</si>
  <si>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</si>
  <si>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</si>
  <si>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</si>
  <si>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</si>
  <si>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</si>
  <si>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</si>
  <si>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</si>
  <si>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</si>
  <si>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</si>
  <si>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</si>
  <si>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</si>
  <si>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</si>
  <si>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</si>
  <si>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</si>
  <si>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</si>
  <si>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</si>
  <si>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</si>
  <si>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</si>
  <si>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</si>
  <si>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</si>
  <si>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</si>
  <si>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</si>
  <si>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</si>
  <si>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</si>
  <si>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</si>
  <si>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</si>
  <si>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</si>
  <si>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</si>
  <si>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</si>
  <si>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</si>
  <si>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</si>
  <si>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</si>
  <si>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</si>
  <si>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</si>
  <si>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</si>
  <si>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</si>
  <si>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</si>
  <si>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</si>
  <si>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</si>
  <si>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</si>
  <si>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</si>
  <si>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</si>
  <si>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</si>
  <si>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</si>
  <si>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</si>
  <si>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</si>
  <si>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</si>
  <si>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</si>
  <si>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</si>
  <si>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</si>
  <si>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</si>
  <si>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</si>
  <si>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</si>
  <si>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</si>
  <si>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</si>
  <si>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</si>
  <si>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</si>
  <si>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</si>
  <si>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</si>
  <si>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</si>
  <si>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</si>
  <si>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</si>
  <si>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</si>
  <si>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</si>
  <si>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</si>
  <si>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</si>
  <si>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</si>
  <si>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</si>
  <si>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</si>
  <si>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</si>
  <si>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</si>
  <si>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</si>
  <si>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</si>
  <si>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</si>
  <si>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</si>
  <si>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</si>
  <si>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</si>
  <si>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</si>
  <si>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</si>
  <si>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</si>
  <si>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</si>
  <si>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</si>
  <si>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</si>
  <si>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</si>
  <si>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</si>
  <si>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</si>
  <si>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</si>
  <si>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</si>
  <si>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</si>
  <si>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</si>
  <si>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</si>
  <si>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</si>
  <si>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</si>
  <si>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</si>
  <si>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</si>
  <si>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</si>
  <si>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</si>
  <si>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</si>
  <si>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</si>
  <si>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</si>
  <si>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</si>
  <si>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</si>
  <si>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</si>
  <si>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</si>
  <si>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</si>
  <si>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</si>
  <si>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</si>
  <si>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</si>
  <si>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</si>
  <si>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</si>
  <si>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</si>
  <si>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</si>
  <si>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</si>
  <si>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</si>
  <si>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</si>
  <si>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</si>
  <si>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</si>
  <si>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</si>
  <si>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</si>
  <si>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</si>
  <si>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</si>
  <si>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</si>
  <si>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</si>
  <si>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</si>
  <si>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</si>
  <si>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</si>
  <si>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</si>
  <si>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</si>
  <si>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</si>
  <si>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</si>
  <si>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</si>
  <si>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</si>
  <si>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</si>
  <si>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</si>
  <si>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</si>
  <si>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</si>
  <si>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</si>
  <si>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</si>
  <si>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</si>
  <si>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</si>
  <si>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</si>
  <si>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</si>
  <si>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</si>
  <si>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</si>
  <si>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</si>
  <si>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</si>
  <si>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</si>
  <si>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</si>
  <si>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</si>
  <si>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</si>
  <si>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</si>
  <si>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</si>
  <si>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</si>
  <si>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</si>
  <si>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</si>
  <si>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</si>
  <si>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</si>
  <si>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</si>
  <si>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</si>
  <si>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</si>
  <si>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</si>
  <si>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</si>
  <si>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</si>
  <si>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</si>
  <si>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</si>
  <si>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</si>
  <si>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</si>
  <si>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</si>
  <si>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</si>
  <si>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</si>
  <si>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</si>
  <si>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</si>
  <si>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</si>
  <si>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</si>
  <si>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</si>
  <si>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</si>
  <si>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</si>
  <si>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</si>
  <si>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</si>
  <si>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</si>
  <si>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</si>
  <si>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</si>
  <si>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</si>
  <si>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</si>
  <si>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</si>
  <si>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</si>
  <si>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</si>
  <si>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</si>
  <si>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</si>
  <si>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</si>
  <si>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</si>
  <si>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</si>
  <si>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</si>
  <si>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</si>
  <si>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</si>
  <si>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</si>
  <si>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</si>
  <si>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</si>
  <si>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</si>
  <si>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</si>
  <si>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</si>
  <si>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</si>
  <si>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</si>
  <si>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</si>
  <si>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</si>
  <si>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</si>
  <si>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</si>
  <si>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</si>
  <si>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</si>
  <si>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</si>
  <si>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</si>
  <si>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</si>
  <si>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</si>
  <si>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</si>
  <si>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</si>
  <si>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</si>
  <si>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</si>
  <si>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</si>
  <si>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</si>
  <si>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</si>
  <si>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</si>
  <si>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</si>
  <si>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</si>
  <si>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</si>
  <si>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</si>
  <si>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</si>
  <si>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</si>
  <si>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</si>
  <si>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</si>
  <si>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</si>
  <si>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</si>
  <si>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</si>
  <si>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</si>
  <si>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</si>
  <si>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</si>
  <si>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</si>
  <si>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</si>
  <si>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</si>
  <si>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</si>
  <si>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</si>
  <si>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</si>
  <si>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</si>
  <si>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</si>
  <si>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</si>
  <si>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</si>
  <si>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</si>
  <si>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</si>
  <si>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</si>
  <si>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</si>
  <si>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</si>
  <si>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</si>
  <si>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</si>
  <si>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</si>
  <si>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</si>
  <si>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</si>
  <si>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</si>
  <si>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</si>
  <si>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</si>
  <si>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</si>
  <si>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</si>
  <si>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</si>
  <si>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</si>
  <si>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</si>
  <si>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</si>
  <si>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</si>
  <si>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</si>
  <si>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</si>
  <si>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</si>
  <si>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</si>
  <si>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</si>
  <si>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</si>
  <si>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</si>
  <si>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</si>
  <si>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</si>
  <si>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</si>
  <si>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</si>
  <si>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</si>
  <si>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</si>
  <si>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</si>
  <si>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</si>
  <si>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</si>
  <si>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</si>
  <si>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</si>
  <si>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</si>
  <si>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</si>
  <si>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</si>
  <si>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</si>
  <si>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</si>
  <si>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</si>
  <si>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</si>
  <si>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</si>
  <si>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</si>
  <si>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</si>
  <si>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</si>
  <si>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</si>
  <si>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</si>
  <si>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</si>
  <si>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</si>
  <si>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</si>
  <si>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</si>
  <si>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</si>
  <si>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</si>
  <si>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</si>
  <si>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</si>
  <si>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</si>
  <si>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</si>
  <si>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</si>
  <si>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</si>
  <si>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</si>
  <si>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</si>
  <si>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</si>
  <si>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</si>
  <si>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</si>
  <si>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</si>
  <si>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</si>
  <si>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</si>
  <si>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</si>
  <si>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</si>
  <si>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</si>
  <si>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</si>
  <si>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</si>
  <si>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</si>
  <si>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</si>
  <si>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</si>
  <si>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</si>
  <si>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</si>
  <si>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</si>
  <si>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</si>
  <si>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</si>
  <si>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</si>
  <si>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</si>
  <si>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</si>
  <si>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</si>
  <si>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</si>
  <si>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</si>
  <si>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</si>
  <si>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</si>
  <si>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</si>
  <si>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</si>
  <si>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</si>
  <si>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</si>
  <si>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</si>
  <si>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</si>
  <si>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</si>
  <si>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</si>
  <si>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</si>
  <si>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</si>
  <si>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</si>
  <si>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</si>
  <si>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</si>
  <si>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</si>
  <si>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</si>
  <si>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</si>
  <si>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</si>
  <si>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</si>
  <si>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</si>
  <si>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</si>
  <si>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</si>
  <si>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</si>
  <si>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</si>
  <si>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</si>
  <si>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</si>
  <si>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</si>
  <si>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</si>
  <si>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</si>
  <si>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</si>
  <si>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</si>
  <si>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</si>
  <si>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</si>
  <si>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</si>
  <si>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</si>
  <si>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</si>
  <si>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</si>
  <si>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</si>
  <si>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</si>
  <si>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</si>
  <si>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</si>
  <si>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</si>
  <si>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</si>
  <si>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</si>
  <si>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</si>
  <si>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</si>
  <si>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</si>
  <si>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</si>
  <si>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</si>
  <si>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</si>
  <si>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</si>
  <si>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</si>
  <si>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</si>
  <si>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</si>
  <si>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</si>
  <si>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</si>
  <si>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</si>
  <si>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</si>
  <si>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</si>
  <si>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</si>
  <si>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</si>
  <si>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</si>
  <si>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</si>
  <si>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</si>
  <si>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</si>
  <si>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</si>
  <si>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</si>
  <si>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</si>
  <si>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</si>
  <si>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</si>
  <si>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</si>
  <si>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</si>
  <si>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</si>
  <si>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</si>
  <si>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</si>
  <si>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</si>
  <si>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</si>
  <si>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</si>
  <si>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</si>
  <si>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</si>
  <si>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</si>
  <si>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</si>
  <si>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</si>
  <si>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</si>
  <si>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</si>
  <si>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</si>
  <si>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</si>
  <si>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</si>
  <si>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</si>
  <si>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</si>
  <si>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</si>
  <si>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</si>
  <si>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</si>
  <si>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</si>
  <si>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</si>
  <si>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</si>
  <si>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</si>
  <si>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</si>
  <si>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</si>
  <si>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</si>
  <si>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</si>
  <si>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</si>
  <si>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</si>
  <si>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</si>
  <si>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</si>
  <si>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</si>
  <si>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</si>
  <si>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</si>
  <si>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</si>
  <si>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</si>
  <si>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</si>
  <si>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</si>
  <si>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</si>
  <si>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</si>
  <si>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</si>
  <si>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</si>
  <si>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</si>
  <si>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</si>
  <si>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</si>
  <si>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</si>
  <si>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</si>
  <si>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</si>
  <si>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</si>
  <si>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</si>
  <si>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</si>
  <si>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</si>
  <si>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</si>
  <si>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</si>
  <si>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</si>
  <si>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</si>
  <si>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</si>
  <si>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</si>
  <si>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</si>
  <si>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</si>
  <si>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</si>
  <si>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</si>
  <si>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</si>
  <si>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</si>
  <si>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</si>
  <si>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</si>
  <si>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</si>
  <si>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</si>
  <si>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</si>
  <si>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</si>
  <si>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</si>
  <si>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</si>
  <si>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</si>
  <si>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</si>
  <si>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</si>
  <si>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</si>
  <si>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</si>
  <si>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</si>
  <si>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</si>
  <si>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</si>
  <si>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</si>
  <si>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</si>
  <si>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</si>
  <si>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</si>
  <si>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</si>
  <si>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</si>
  <si>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</si>
  <si>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</si>
  <si>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</si>
  <si>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</si>
  <si>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</si>
  <si>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</si>
  <si>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</si>
  <si>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</si>
  <si>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</si>
  <si>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</si>
  <si>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</si>
  <si>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</si>
  <si>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</si>
  <si>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</si>
  <si>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</si>
  <si>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</si>
  <si>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</si>
  <si>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</si>
  <si>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</si>
  <si>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</si>
  <si>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</si>
  <si>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</si>
  <si>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</si>
  <si>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</si>
  <si>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</si>
  <si>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</si>
  <si>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</si>
  <si>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</si>
  <si>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</si>
  <si>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</si>
  <si>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</si>
  <si>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</si>
  <si>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</si>
  <si>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</si>
  <si>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</si>
  <si>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</si>
  <si>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</si>
  <si>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</si>
  <si>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</si>
  <si>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</si>
  <si>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</si>
  <si>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</si>
  <si>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</si>
  <si>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</si>
  <si>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</si>
  <si>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</si>
  <si>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</si>
  <si>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</si>
  <si>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</si>
  <si>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</si>
  <si>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</si>
  <si>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</si>
  <si>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</si>
  <si>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</si>
  <si>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</si>
  <si>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</si>
  <si>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</si>
  <si>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</si>
  <si>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</si>
  <si>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</si>
  <si>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</si>
  <si>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</si>
  <si>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</si>
  <si>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</si>
  <si>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</si>
  <si>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</si>
  <si>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</si>
  <si>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</si>
  <si>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</si>
  <si>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</si>
  <si>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</si>
  <si>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</si>
  <si>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</si>
  <si>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</si>
  <si>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</si>
  <si>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</si>
  <si>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</si>
  <si>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</si>
  <si>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</si>
  <si>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</si>
  <si>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</si>
  <si>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</si>
  <si>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</si>
  <si>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</si>
  <si>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</si>
  <si>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</si>
  <si>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</si>
  <si>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</si>
  <si>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</si>
  <si>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</si>
  <si>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</si>
  <si>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</si>
  <si>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</si>
  <si>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</si>
  <si>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</si>
  <si>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</si>
  <si>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</si>
  <si>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</si>
  <si>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</si>
  <si>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</si>
  <si>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</si>
  <si>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</si>
  <si>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</si>
  <si>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</si>
  <si>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</si>
  <si>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</si>
  <si>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</si>
  <si>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</si>
  <si>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</si>
  <si>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</si>
  <si>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</si>
  <si>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</si>
  <si>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</si>
  <si>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</si>
  <si>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</si>
  <si>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</si>
  <si>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</si>
  <si>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</si>
  <si>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</si>
  <si>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</si>
  <si>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</si>
  <si>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</si>
  <si>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</si>
  <si>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</si>
  <si>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</si>
  <si>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</si>
  <si>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</si>
  <si>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</si>
  <si>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</si>
  <si>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</si>
  <si>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</si>
  <si>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</si>
  <si>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</si>
  <si>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</si>
  <si>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</si>
  <si>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</si>
  <si>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</si>
  <si>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</si>
  <si>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</si>
  <si>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</si>
  <si>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</si>
  <si>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</si>
  <si>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</si>
  <si>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</si>
  <si>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</si>
  <si>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</si>
  <si>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</si>
  <si>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</si>
  <si>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</si>
  <si>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</si>
  <si>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</si>
  <si>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</si>
  <si>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</si>
  <si>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</si>
  <si>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</si>
  <si>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</si>
  <si>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</si>
  <si>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</si>
  <si>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</si>
  <si>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</si>
  <si>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</si>
  <si>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</si>
  <si>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</si>
  <si>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</si>
  <si>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</si>
  <si>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</si>
  <si>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</si>
  <si>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</si>
  <si>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</si>
  <si>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</si>
  <si>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</si>
  <si>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</si>
  <si>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</si>
  <si>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</si>
  <si>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</si>
  <si>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</si>
  <si>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</si>
  <si>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</si>
  <si>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</si>
  <si>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</si>
  <si>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</si>
  <si>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</si>
  <si>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</si>
  <si>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</si>
  <si>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</si>
  <si>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</si>
  <si>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</si>
  <si>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</si>
  <si>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</si>
  <si>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</si>
  <si>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</si>
  <si>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</si>
  <si>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</si>
  <si>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</si>
  <si>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</si>
  <si>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</si>
  <si>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</si>
  <si>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</si>
  <si>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</si>
  <si>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</si>
  <si>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</si>
  <si>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</si>
  <si>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</si>
  <si>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</si>
  <si>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</si>
  <si>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</si>
  <si>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</si>
  <si>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</si>
  <si>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</si>
  <si>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</si>
  <si>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</si>
  <si>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</si>
  <si>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</si>
  <si>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</si>
  <si>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</si>
  <si>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</si>
  <si>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</si>
  <si>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</si>
  <si>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</si>
  <si>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</si>
  <si>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</si>
  <si>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</si>
  <si>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</si>
  <si>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</si>
  <si>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</si>
  <si>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</si>
  <si>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</si>
  <si>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</si>
  <si>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</si>
  <si>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</si>
  <si>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</si>
  <si>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</si>
  <si>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</si>
  <si>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</si>
  <si>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</si>
  <si>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</si>
  <si>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</si>
  <si>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</si>
  <si>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</si>
  <si>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</si>
  <si>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</si>
  <si>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</si>
  <si>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</si>
  <si>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</si>
  <si>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</si>
  <si>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</si>
  <si>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</si>
  <si>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</si>
  <si>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</si>
  <si>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</si>
  <si>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</si>
  <si>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</si>
  <si>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</si>
  <si>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</si>
  <si>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</si>
  <si>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</si>
  <si>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</si>
  <si>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</si>
  <si>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</si>
  <si>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</si>
  <si>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</si>
  <si>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</si>
  <si>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</si>
  <si>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</si>
  <si>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</si>
  <si>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</si>
  <si>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</si>
  <si>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</si>
  <si>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</si>
  <si>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</si>
  <si>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</si>
  <si>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</si>
  <si>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</si>
  <si>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</si>
  <si>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</si>
  <si>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</si>
  <si>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</si>
  <si>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</si>
  <si>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</si>
  <si>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</si>
  <si>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</si>
  <si>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</si>
  <si>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</si>
  <si>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</si>
  <si>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</si>
  <si>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</si>
  <si>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</si>
  <si>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</si>
  <si>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</si>
  <si>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</si>
  <si>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</si>
  <si>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</si>
  <si>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</si>
  <si>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</si>
  <si>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</si>
  <si>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</si>
  <si>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</si>
  <si>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</si>
  <si>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</si>
  <si>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</si>
  <si>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</si>
  <si>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</si>
  <si>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</si>
  <si>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</si>
  <si>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</si>
  <si>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</si>
  <si>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</si>
  <si>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</si>
  <si>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</si>
  <si>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</si>
  <si>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</si>
  <si>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</si>
  <si>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</si>
  <si>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</si>
  <si>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</si>
  <si>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</si>
  <si>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</si>
  <si>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</si>
  <si>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</si>
  <si>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</si>
  <si>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</si>
  <si>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</si>
  <si>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</si>
  <si>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</si>
  <si>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</si>
  <si>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</si>
  <si>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</si>
  <si>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</si>
  <si>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</si>
  <si>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</si>
  <si>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</si>
  <si>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</si>
  <si>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</si>
  <si>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</si>
  <si>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</si>
  <si>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</si>
  <si>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</si>
  <si>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</si>
  <si>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</si>
  <si>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</si>
  <si>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</si>
  <si>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</si>
  <si>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</si>
  <si>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</si>
  <si>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</si>
  <si>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</si>
  <si>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</si>
  <si>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</si>
  <si>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</si>
  <si>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</si>
  <si>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</si>
  <si>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</si>
  <si>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</si>
  <si>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</si>
  <si>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</si>
  <si>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</si>
  <si>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</si>
  <si>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</si>
  <si>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</si>
  <si>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</si>
  <si>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</si>
  <si>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</si>
  <si>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</si>
  <si>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</si>
  <si>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</si>
  <si>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</si>
  <si>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</si>
  <si>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</si>
  <si>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</si>
  <si>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</si>
  <si>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</si>
  <si>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</si>
  <si>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</si>
  <si>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</si>
  <si>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</si>
  <si>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</si>
  <si>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</si>
  <si>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</si>
  <si>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</si>
  <si>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</si>
  <si>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</si>
  <si>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</si>
  <si>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</si>
  <si>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</si>
  <si>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</si>
  <si>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</si>
  <si>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</si>
  <si>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</si>
  <si>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</si>
  <si>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</si>
  <si>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</si>
  <si>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</si>
  <si>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</si>
  <si>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</si>
  <si>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</si>
  <si>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</si>
  <si>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</si>
  <si>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</si>
  <si>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</si>
  <si>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</si>
  <si>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</si>
  <si>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</si>
  <si>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</si>
  <si>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</si>
  <si>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</si>
  <si>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</si>
  <si>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</si>
  <si>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</si>
  <si>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</si>
  <si>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</si>
  <si>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</si>
  <si>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</si>
  <si>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</si>
  <si>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</si>
  <si>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</si>
  <si>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</si>
  <si>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</si>
  <si>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</si>
  <si>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</si>
  <si>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</si>
  <si>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</si>
  <si>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</si>
  <si>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</si>
  <si>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</si>
  <si>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</si>
  <si>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</si>
  <si>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</si>
  <si>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</si>
  <si>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</si>
  <si>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</si>
  <si>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</si>
  <si>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</si>
  <si>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</si>
  <si>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</si>
  <si>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</si>
  <si>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</si>
  <si>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</si>
  <si>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</si>
  <si>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</si>
  <si>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</si>
  <si>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</si>
  <si>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</si>
  <si>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</si>
  <si>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</si>
  <si>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</si>
  <si>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</si>
  <si>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</si>
  <si>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</si>
  <si>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</si>
  <si>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</si>
  <si>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</si>
  <si>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</si>
  <si>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</si>
  <si>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</si>
  <si>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</si>
  <si>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</si>
  <si>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</si>
  <si>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</si>
  <si>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</si>
  <si>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</si>
  <si>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</si>
  <si>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</si>
  <si>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</si>
  <si>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</si>
  <si>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</si>
  <si>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</si>
  <si>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</si>
  <si>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</si>
  <si>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</si>
  <si>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</si>
  <si>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</si>
  <si>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</si>
  <si>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</si>
  <si>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</si>
  <si>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</si>
  <si>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</si>
  <si>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</si>
  <si>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</si>
  <si>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</si>
  <si>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</si>
  <si>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</si>
  <si>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</si>
  <si>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</si>
  <si>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</si>
  <si>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</si>
  <si>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</si>
  <si>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</si>
  <si>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</si>
  <si>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</si>
  <si>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</si>
  <si>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</si>
  <si>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</si>
  <si>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</si>
  <si>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</si>
  <si>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</si>
  <si>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</si>
  <si>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</si>
  <si>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</si>
  <si>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</si>
  <si>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</si>
  <si>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</si>
  <si>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</si>
  <si>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</si>
  <si>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</si>
  <si>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</si>
  <si>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</si>
  <si>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</si>
  <si>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</si>
  <si>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</si>
  <si>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</si>
  <si>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</si>
  <si>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</si>
  <si>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</si>
  <si>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</si>
  <si>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</si>
  <si>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</si>
  <si>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</si>
  <si>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</si>
  <si>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</si>
  <si>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</si>
  <si>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</si>
  <si>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</si>
  <si>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</si>
  <si>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</si>
  <si>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</si>
  <si>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</si>
  <si>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</si>
  <si>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</si>
  <si>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</si>
  <si>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</si>
  <si>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</si>
  <si>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</si>
  <si>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</si>
  <si>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</si>
  <si>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</si>
  <si>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</si>
  <si>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</si>
  <si>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</si>
  <si>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</si>
  <si>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</si>
  <si>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</si>
  <si>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</si>
  <si>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</si>
  <si>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</si>
  <si>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</si>
  <si>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</si>
  <si>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</si>
  <si>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</si>
  <si>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</si>
  <si>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</si>
  <si>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</si>
  <si>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</si>
  <si>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</si>
  <si>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</si>
  <si>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</si>
  <si>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</si>
  <si>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</si>
  <si>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</si>
  <si>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</si>
  <si>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</si>
  <si>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</si>
  <si>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</si>
  <si>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</si>
  <si>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</si>
  <si>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</si>
  <si>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</si>
  <si>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</si>
  <si>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</si>
  <si>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</si>
  <si>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</si>
  <si>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</si>
  <si>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</si>
  <si>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</si>
  <si>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</si>
  <si>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</si>
  <si>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</si>
  <si>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</si>
  <si>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</si>
  <si>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</si>
  <si>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</si>
  <si>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</si>
  <si>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</si>
  <si>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</si>
  <si>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</si>
  <si>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</si>
  <si>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</si>
  <si>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</si>
  <si>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</si>
  <si>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</si>
  <si>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</si>
  <si>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</si>
  <si>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</si>
  <si>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</si>
  <si>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</si>
  <si>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</si>
  <si>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</si>
  <si>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</si>
  <si>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</si>
  <si>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</si>
  <si>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</si>
  <si>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</si>
  <si>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</si>
  <si>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</si>
  <si>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</si>
  <si>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</si>
  <si>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</si>
  <si>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</si>
  <si>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</si>
  <si>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</si>
  <si>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</si>
  <si>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</si>
  <si>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</si>
  <si>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</si>
  <si>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</si>
  <si>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</si>
  <si>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</si>
  <si>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</si>
  <si>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</si>
  <si>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</si>
  <si>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</si>
  <si>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</si>
  <si>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</si>
  <si>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</si>
  <si>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</si>
  <si>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</si>
  <si>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</si>
  <si>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</si>
  <si>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</si>
  <si>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</si>
  <si>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</si>
  <si>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</si>
  <si>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</si>
  <si>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</si>
  <si>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</si>
  <si>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</si>
  <si>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</si>
  <si>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</si>
  <si>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</si>
  <si>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</si>
  <si>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</si>
  <si>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</si>
  <si>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</si>
  <si>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</si>
  <si>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</si>
  <si>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</si>
  <si>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</si>
  <si>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</si>
  <si>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</si>
  <si>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</si>
  <si>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</si>
  <si>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</si>
  <si>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</si>
  <si>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</si>
  <si>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</si>
  <si>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</si>
  <si>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</si>
  <si>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</si>
  <si>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</si>
  <si>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</si>
  <si>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</si>
  <si>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</si>
  <si>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</si>
  <si>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</si>
  <si>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</si>
  <si>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</si>
  <si>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</si>
  <si>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</si>
  <si>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</si>
  <si>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</si>
  <si>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</si>
  <si>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</si>
  <si>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</si>
  <si>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</si>
  <si>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</si>
  <si>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</si>
  <si>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</si>
  <si>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</si>
  <si>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</si>
  <si>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</si>
  <si>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</si>
  <si>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</si>
  <si>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</si>
  <si>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</si>
  <si>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</si>
  <si>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</si>
  <si>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</si>
  <si>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</si>
  <si>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</si>
  <si>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</si>
  <si>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</si>
  <si>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</si>
  <si>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</si>
  <si>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</si>
  <si>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</si>
  <si>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</si>
  <si>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</si>
  <si>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</si>
  <si>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</si>
  <si>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</si>
  <si>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</si>
  <si>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</si>
  <si>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</si>
  <si>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</si>
  <si>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</si>
  <si>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</si>
  <si>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</si>
  <si>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</si>
  <si>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</si>
  <si>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</si>
  <si>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</si>
  <si>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</si>
  <si>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</si>
  <si>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</si>
  <si>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</si>
  <si>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</si>
  <si>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</si>
  <si>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</si>
  <si>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</si>
  <si>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</si>
  <si>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</si>
  <si>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</si>
  <si>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</si>
  <si>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</si>
  <si>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</si>
  <si>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</si>
  <si>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</si>
  <si>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</si>
  <si>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</si>
  <si>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</si>
  <si>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</si>
  <si>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</si>
  <si>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</si>
  <si>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</si>
  <si>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</si>
  <si>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</si>
  <si>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</si>
  <si>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</si>
  <si>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</si>
  <si>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</si>
  <si>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</si>
  <si>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</si>
  <si>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</si>
  <si>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</si>
  <si>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</si>
  <si>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</si>
  <si>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</si>
  <si>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</si>
  <si>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</si>
  <si>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</si>
  <si>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</si>
  <si>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</si>
  <si>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</si>
  <si>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</si>
  <si>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</si>
  <si>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</si>
  <si>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</si>
  <si>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</si>
  <si>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</si>
  <si>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</si>
  <si>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</si>
  <si>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</si>
  <si>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</si>
  <si>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</si>
  <si>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</si>
  <si>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</si>
  <si>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</si>
  <si>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</si>
  <si>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</si>
  <si>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</si>
  <si>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</si>
  <si>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</si>
  <si>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</si>
  <si>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</si>
  <si>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</si>
  <si>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</si>
  <si>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</si>
  <si>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</si>
  <si>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</si>
  <si>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</si>
  <si>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</si>
  <si>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</si>
  <si>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</si>
  <si>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</si>
  <si>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</si>
  <si>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</si>
  <si>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</si>
  <si>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</si>
  <si>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</si>
  <si>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</si>
  <si>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</si>
  <si>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</si>
  <si>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</si>
  <si>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</si>
  <si>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</si>
  <si>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</si>
  <si>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</si>
  <si>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</si>
  <si>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</si>
  <si>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</si>
  <si>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</si>
  <si>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</si>
  <si>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</si>
  <si>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</si>
  <si>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</si>
  <si>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</si>
  <si>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</si>
  <si>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</si>
  <si>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</si>
  <si>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</si>
  <si>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</si>
  <si>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</si>
  <si>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</si>
  <si>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</si>
  <si>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</si>
  <si>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</si>
  <si>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</si>
  <si>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</si>
  <si>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</si>
  <si>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</si>
  <si>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</si>
  <si>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</si>
  <si>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</si>
  <si>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</si>
  <si>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</si>
  <si>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</si>
  <si>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</si>
  <si>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</si>
  <si>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</si>
  <si>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</si>
  <si>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</si>
  <si>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</si>
  <si>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</si>
  <si>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</si>
  <si>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</si>
  <si>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</si>
  <si>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</si>
  <si>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</si>
  <si>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</si>
  <si>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</si>
  <si>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</si>
  <si>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</si>
  <si>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</si>
  <si>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</si>
  <si>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</si>
  <si>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</si>
  <si>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</si>
  <si>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</si>
  <si>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</si>
  <si>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</si>
  <si>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</si>
  <si>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</si>
  <si>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</si>
  <si>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</si>
  <si>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</si>
  <si>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</si>
  <si>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</si>
  <si>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</si>
  <si>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</si>
  <si>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</si>
  <si>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</si>
  <si>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</si>
  <si>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</si>
  <si>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</si>
  <si>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</si>
  <si>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</si>
  <si>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</si>
  <si>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</si>
  <si>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</si>
  <si>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</si>
  <si>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</si>
  <si>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</si>
  <si>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</si>
  <si>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</si>
  <si>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</si>
  <si>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</si>
  <si>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</si>
  <si>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</si>
  <si>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</si>
  <si>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</si>
  <si>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</si>
  <si>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</si>
  <si>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</si>
  <si>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</si>
  <si>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</si>
  <si>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</si>
  <si>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</si>
  <si>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</si>
  <si>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</si>
  <si>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</si>
  <si>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</si>
  <si>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</si>
  <si>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</si>
  <si>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</si>
  <si>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</si>
  <si>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</si>
  <si>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</si>
  <si>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</si>
  <si>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</si>
  <si>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</si>
  <si>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</si>
  <si>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</si>
  <si>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</si>
  <si>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</si>
  <si>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</si>
  <si>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</si>
  <si>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</si>
  <si>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</si>
  <si>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</si>
  <si>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</si>
  <si>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</si>
  <si>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</si>
  <si>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</si>
  <si>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</si>
  <si>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</si>
  <si>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</si>
  <si>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</si>
  <si>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</si>
  <si>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</si>
  <si>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</si>
  <si>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</si>
  <si>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</si>
  <si>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</si>
  <si>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</si>
  <si>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</si>
  <si>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</si>
  <si>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</si>
  <si>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</si>
  <si>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</si>
  <si>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</si>
  <si>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</si>
  <si>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</si>
  <si>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</si>
  <si>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</si>
  <si>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</si>
  <si>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</si>
  <si>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</si>
  <si>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</si>
  <si>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</si>
  <si>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</si>
  <si>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</si>
  <si>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</si>
  <si>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</si>
  <si>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</si>
  <si>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</si>
  <si>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</si>
  <si>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</si>
  <si>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</si>
  <si>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</si>
  <si>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</si>
  <si>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</si>
  <si>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</si>
  <si>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</si>
  <si>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</si>
  <si>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</si>
  <si>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</si>
  <si>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</si>
  <si>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</si>
  <si>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</si>
  <si>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</si>
  <si>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</si>
  <si>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</si>
  <si>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</si>
  <si>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</si>
  <si>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</si>
  <si>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</si>
  <si>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</si>
  <si>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</si>
  <si>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</si>
  <si>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</si>
  <si>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</si>
  <si>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</si>
  <si>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</si>
  <si>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</si>
  <si>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</si>
  <si>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</si>
  <si>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</si>
  <si>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</si>
  <si>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</si>
  <si>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</si>
  <si>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</si>
  <si>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</si>
  <si>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</si>
  <si>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</si>
  <si>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</si>
  <si>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</si>
  <si>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</si>
  <si>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</si>
  <si>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</si>
  <si>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</si>
  <si>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</si>
  <si>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</si>
  <si>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</si>
  <si>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</si>
  <si>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</si>
  <si>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</si>
  <si>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</si>
  <si>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</si>
  <si>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</si>
  <si>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</si>
  <si>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</si>
  <si>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</si>
  <si>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</si>
  <si>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</si>
  <si>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</si>
  <si>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</si>
  <si>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</si>
  <si>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</si>
  <si>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</si>
  <si>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</si>
  <si>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</si>
  <si>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</si>
  <si>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</si>
  <si>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</si>
  <si>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</si>
  <si>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</si>
  <si>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</si>
  <si>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</si>
  <si>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</si>
  <si>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</si>
  <si>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</si>
  <si>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</si>
  <si>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</si>
  <si>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</si>
  <si>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</si>
  <si>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</si>
  <si>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</si>
  <si>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</si>
  <si>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</si>
  <si>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</si>
  <si>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</si>
  <si>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</si>
  <si>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</si>
  <si>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</si>
  <si>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</si>
  <si>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</si>
  <si>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</si>
  <si>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</si>
  <si>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</si>
  <si>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</si>
  <si>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</si>
  <si>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</si>
  <si>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</si>
  <si>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</si>
  <si>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</si>
  <si>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</si>
  <si>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</si>
  <si>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</si>
  <si>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</si>
  <si>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</si>
  <si>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</si>
  <si>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</si>
  <si>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</si>
  <si>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</si>
  <si>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</si>
  <si>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</si>
  <si>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</si>
  <si>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</si>
  <si>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</si>
  <si>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</si>
  <si>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</si>
  <si>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</si>
  <si>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</si>
  <si>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</si>
  <si>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</si>
  <si>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</si>
  <si>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</si>
  <si>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</si>
  <si>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</si>
  <si>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</si>
  <si>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</si>
  <si>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</si>
  <si>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</si>
  <si>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</si>
  <si>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</si>
  <si>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</si>
  <si>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</si>
  <si>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</si>
  <si>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</si>
  <si>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</si>
  <si>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</si>
  <si>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</si>
  <si>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</si>
  <si>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</si>
  <si>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</si>
  <si>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</si>
  <si>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</si>
  <si>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</si>
  <si>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</si>
  <si>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</si>
  <si>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</si>
  <si>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</si>
  <si>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</si>
  <si>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</si>
  <si>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</si>
  <si>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</si>
  <si>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</si>
  <si>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</si>
  <si>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</si>
  <si>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</si>
  <si>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</si>
  <si>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</si>
  <si>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</si>
  <si>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</si>
  <si>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</si>
  <si>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</si>
  <si>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</si>
  <si>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</si>
  <si>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</si>
  <si>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</si>
  <si>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</si>
  <si>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</si>
  <si>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</si>
  <si>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</si>
  <si>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</si>
  <si>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</si>
  <si>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</si>
  <si>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</si>
  <si>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</si>
  <si>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</si>
  <si>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</si>
  <si>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</si>
  <si>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</si>
  <si>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</si>
  <si>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</si>
  <si>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</si>
  <si>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</si>
  <si>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</si>
  <si>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</si>
  <si>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</si>
  <si>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</si>
  <si>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</si>
  <si>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</si>
  <si>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</si>
  <si>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</si>
  <si>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</si>
  <si>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</si>
  <si>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</si>
  <si>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</si>
  <si>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</si>
  <si>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</si>
  <si>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</si>
  <si>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</si>
  <si>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</si>
  <si>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</si>
  <si>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</si>
  <si>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</si>
  <si>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</si>
  <si>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</si>
  <si>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</si>
  <si>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</si>
  <si>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</si>
  <si>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</si>
  <si>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</si>
  <si>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</si>
  <si>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</si>
  <si>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</si>
  <si>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</si>
  <si>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</si>
  <si>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</si>
  <si>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</si>
  <si>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</si>
  <si>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</si>
  <si>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</si>
  <si>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</si>
  <si>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</si>
  <si>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</si>
  <si>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</si>
  <si>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</si>
  <si>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</si>
  <si>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</si>
  <si>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</si>
  <si>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</si>
  <si>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</si>
  <si>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</si>
  <si>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</si>
  <si>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</si>
  <si>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</si>
  <si>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</si>
  <si>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</si>
  <si>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</si>
  <si>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</si>
  <si>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</si>
  <si>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</si>
  <si>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</si>
  <si>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</si>
  <si>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</si>
  <si>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</si>
  <si>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</si>
  <si>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</si>
  <si>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</si>
  <si>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</si>
  <si>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</si>
  <si>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</si>
  <si>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</si>
  <si>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</si>
  <si>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</si>
  <si>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</si>
  <si>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</si>
  <si>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</si>
  <si>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</si>
  <si>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</si>
  <si>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</si>
  <si>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</si>
  <si>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</si>
  <si>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</si>
  <si>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</si>
  <si>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</si>
  <si>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</si>
  <si>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</si>
  <si>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</si>
  <si>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</si>
  <si>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</si>
  <si>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</si>
  <si>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</si>
  <si>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</si>
  <si>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</si>
  <si>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</si>
  <si>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</si>
  <si>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</si>
  <si>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</si>
  <si>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</si>
  <si>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</si>
  <si>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</si>
  <si>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</si>
  <si>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</si>
  <si>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</si>
  <si>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</si>
  <si>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</si>
  <si>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</si>
  <si>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</si>
  <si>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</si>
  <si>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</si>
  <si>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</si>
  <si>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</si>
  <si>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</si>
  <si>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</si>
  <si>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</si>
  <si>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</si>
  <si>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</si>
  <si>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</si>
  <si>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</si>
  <si>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</si>
  <si>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</si>
  <si>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</si>
  <si>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</si>
  <si>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</si>
  <si>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</si>
  <si>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</si>
  <si>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</si>
  <si>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</si>
  <si>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</si>
  <si>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</si>
  <si>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</si>
  <si>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</si>
  <si>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</si>
  <si>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</si>
  <si>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</si>
  <si>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</si>
  <si>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</si>
  <si>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</si>
  <si>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</si>
  <si>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</si>
  <si>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</si>
  <si>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</si>
  <si>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</si>
  <si>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</si>
  <si>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</si>
  <si>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</si>
  <si>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</si>
  <si>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</si>
  <si>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</si>
  <si>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</si>
  <si>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</si>
  <si>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</si>
  <si>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</si>
  <si>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</si>
  <si>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</si>
  <si>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</si>
  <si>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</si>
  <si>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</si>
  <si>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</si>
  <si>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</si>
  <si>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</si>
  <si>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</si>
  <si>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</si>
  <si>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</si>
  <si>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</si>
  <si>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</si>
  <si>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</si>
  <si>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</si>
  <si>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</si>
  <si>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</si>
  <si>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</si>
  <si>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</si>
  <si>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</si>
  <si>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</si>
  <si>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</si>
  <si>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</si>
  <si>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</si>
  <si>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</si>
  <si>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</si>
  <si>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</si>
  <si>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</si>
  <si>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</si>
  <si>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</si>
  <si>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</si>
  <si>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</si>
  <si>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</si>
  <si>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</si>
  <si>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</si>
  <si>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</si>
  <si>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</si>
  <si>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</si>
  <si>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</si>
  <si>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</si>
  <si>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</si>
  <si>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</si>
  <si>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</si>
  <si>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</si>
  <si>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</si>
  <si>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</si>
  <si>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</si>
  <si>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</si>
  <si>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</si>
  <si>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</si>
  <si>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</si>
  <si>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</si>
  <si>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</si>
  <si>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</si>
  <si>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</si>
  <si>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</si>
  <si>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</si>
  <si>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</si>
  <si>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</si>
  <si>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</si>
  <si>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</si>
  <si>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</si>
  <si>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</si>
  <si>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</si>
  <si>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</si>
  <si>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</si>
  <si>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</si>
  <si>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</si>
  <si>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</si>
  <si>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</si>
  <si>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</si>
  <si>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</si>
  <si>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</si>
  <si>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</si>
  <si>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</si>
  <si>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</si>
  <si>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</si>
  <si>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</si>
  <si>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</si>
  <si>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</si>
  <si>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</si>
  <si>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</si>
  <si>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</si>
  <si>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</si>
  <si>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</si>
  <si>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</si>
  <si>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</si>
  <si>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</si>
  <si>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</si>
  <si>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</si>
  <si>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</si>
  <si>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</si>
  <si>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</si>
  <si>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</si>
  <si>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</si>
  <si>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</si>
  <si>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</si>
  <si>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</si>
  <si>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</si>
  <si>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</si>
  <si>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</si>
  <si>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</si>
  <si>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</si>
  <si>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</si>
  <si>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</si>
  <si>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</si>
  <si>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</si>
  <si>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</si>
  <si>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</si>
  <si>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</si>
  <si>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</si>
  <si>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</si>
  <si>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</si>
  <si>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</si>
  <si>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</si>
  <si>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</si>
  <si>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</si>
  <si>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</si>
  <si>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</si>
  <si>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</si>
  <si>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</si>
  <si>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</si>
  <si>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</si>
  <si>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</si>
  <si>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</si>
  <si>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</si>
  <si>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</si>
  <si>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</si>
  <si>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</si>
  <si>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</si>
  <si>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</si>
  <si>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</si>
  <si>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</si>
  <si>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</si>
  <si>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</si>
  <si>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</si>
  <si>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</si>
  <si>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</si>
  <si>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</si>
  <si>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</si>
  <si>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</si>
  <si>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</si>
  <si>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</si>
  <si>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</si>
  <si>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</si>
  <si>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</si>
  <si>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</si>
  <si>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</si>
  <si>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</si>
  <si>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</si>
  <si>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</si>
  <si>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</si>
  <si>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</si>
  <si>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</si>
  <si>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</si>
  <si>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</si>
  <si>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</si>
  <si>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</si>
  <si>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</si>
  <si>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</si>
  <si>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</si>
  <si>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</si>
  <si>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</si>
  <si>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</si>
  <si>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</si>
  <si>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</si>
  <si>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</si>
  <si>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</si>
  <si>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</si>
  <si>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</si>
  <si>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</si>
  <si>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</si>
  <si>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</si>
  <si>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</si>
  <si>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</si>
  <si>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</si>
  <si>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</si>
  <si>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</si>
  <si>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</si>
  <si>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</si>
  <si>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</si>
  <si>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</si>
  <si>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</si>
  <si>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</si>
  <si>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</si>
  <si>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</si>
  <si>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</si>
  <si>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</si>
  <si>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</si>
  <si>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</si>
  <si>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</si>
  <si>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</si>
  <si>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</si>
  <si>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</si>
  <si>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</si>
  <si>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</si>
  <si>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</si>
  <si>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</si>
  <si>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</si>
  <si>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</si>
  <si>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</si>
  <si>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</si>
  <si>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</si>
  <si>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</si>
  <si>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</si>
  <si>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</si>
  <si>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</si>
  <si>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</si>
  <si>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</si>
  <si>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</si>
  <si>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</si>
  <si>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24-03-2021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</si>
  <si>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</si>
  <si>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</si>
  <si>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</si>
  <si>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</si>
  <si>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</si>
  <si>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</si>
  <si>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</si>
  <si>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</si>
  <si>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</si>
  <si>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</si>
  <si>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</si>
  <si>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</si>
  <si>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</si>
  <si>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</si>
  <si>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</si>
  <si>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</si>
  <si>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</si>
  <si>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T1</t>
    <phoneticPr fontId="6" type="noConversion"/>
  </si>
  <si>
    <t>UC 254 x 254 x 89</t>
    <phoneticPr fontId="6" type="noConversion"/>
  </si>
  <si>
    <t>UB 457 x 191 x 74</t>
    <phoneticPr fontId="6" type="noConversion"/>
  </si>
  <si>
    <t>T2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</si>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</sst>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3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8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6119</v>
      </c>
      <c r="B1" s="270" t="s">
        <v>6121</v>
      </c>
    </row>
    <row r="2" spans="1:2">
      <c r="A2" s="269" t="s">
        <v>6120</v>
      </c>
      <c r="B2" s="271" t="s">
        <v>6307</v>
      </c>
    </row>
    <row r="4" spans="1:2">
      <c r="A4" s="283" t="s">
        <v>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5803</v>
      </c>
      <c r="B1" s="250" t="s">
        <v>4878</v>
      </c>
      <c r="C1" s="250" t="s">
        <v>5874</v>
      </c>
      <c r="D1" s="250" t="s">
        <v>4382</v>
      </c>
      <c r="E1" s="163"/>
      <c r="F1" s="253" t="s">
        <v>5801</v>
      </c>
      <c r="G1" s="251" t="s">
        <v>4382</v>
      </c>
      <c r="H1" s="163"/>
      <c r="I1" s="253" t="s">
        <v>5043</v>
      </c>
      <c r="J1" s="251" t="s">
        <v>5044</v>
      </c>
      <c r="K1" s="257"/>
      <c r="L1" s="257"/>
      <c r="M1" s="257"/>
    </row>
    <row r="2" spans="1:13" ht="16.2" thickBot="1">
      <c r="A2" s="159" t="s">
        <v>5</v>
      </c>
      <c r="B2" s="159" t="s">
        <v>6133</v>
      </c>
      <c r="C2" s="159" t="s">
        <v>6133</v>
      </c>
      <c r="D2" s="159" t="s">
        <v>6134</v>
      </c>
      <c r="E2" s="163" t="s">
        <v>6056</v>
      </c>
      <c r="F2" s="160" t="s">
        <v>4757</v>
      </c>
      <c r="G2" s="160" t="s">
        <v>4762</v>
      </c>
      <c r="H2" s="163"/>
      <c r="I2" s="254" t="s">
        <v>5791</v>
      </c>
      <c r="J2" s="42" t="s">
        <v>4451</v>
      </c>
      <c r="K2" s="257"/>
      <c r="L2" s="257"/>
      <c r="M2" s="257"/>
    </row>
    <row r="3" spans="1:13" ht="16.2" thickBot="1">
      <c r="A3" s="159" t="s">
        <v>7</v>
      </c>
      <c r="B3" s="159" t="s">
        <v>6132</v>
      </c>
      <c r="C3" s="159" t="s">
        <v>6132</v>
      </c>
      <c r="D3" s="159" t="s">
        <v>6130</v>
      </c>
      <c r="E3" s="163" t="s">
        <v>6056</v>
      </c>
      <c r="F3" s="160" t="s">
        <v>4765</v>
      </c>
      <c r="G3" s="160" t="s">
        <v>4766</v>
      </c>
      <c r="H3" s="163"/>
      <c r="I3" s="255" t="s">
        <v>4754</v>
      </c>
      <c r="J3" s="40" t="s">
        <v>5798</v>
      </c>
      <c r="K3" s="257"/>
      <c r="L3" s="257"/>
      <c r="M3" s="257"/>
    </row>
    <row r="4" spans="1:13" ht="16.2" thickBot="1">
      <c r="A4" s="159" t="s">
        <v>17</v>
      </c>
      <c r="B4" s="159" t="s">
        <v>4652</v>
      </c>
      <c r="C4" s="159" t="s">
        <v>4652</v>
      </c>
      <c r="D4" s="159" t="s">
        <v>4901</v>
      </c>
      <c r="E4" s="163" t="s">
        <v>6056</v>
      </c>
      <c r="F4" s="160" t="s">
        <v>5831</v>
      </c>
      <c r="G4" s="160" t="s">
        <v>5829</v>
      </c>
      <c r="H4" s="163"/>
      <c r="I4" s="256" t="s">
        <v>5800</v>
      </c>
      <c r="J4" s="41" t="s">
        <v>5799</v>
      </c>
      <c r="K4" s="257"/>
      <c r="L4" s="257"/>
      <c r="M4" s="257"/>
    </row>
    <row r="5" spans="1:13" ht="15.6">
      <c r="A5" s="159" t="s">
        <v>6</v>
      </c>
      <c r="B5" s="159" t="s">
        <v>4</v>
      </c>
      <c r="C5" s="159" t="s">
        <v>4</v>
      </c>
      <c r="D5" s="159" t="s">
        <v>4900</v>
      </c>
      <c r="E5" s="163" t="s">
        <v>6056</v>
      </c>
      <c r="F5" s="160" t="s">
        <v>4793</v>
      </c>
      <c r="G5" s="160" t="s">
        <v>4794</v>
      </c>
      <c r="H5" s="163"/>
      <c r="I5" s="257"/>
      <c r="J5" s="257"/>
      <c r="K5" s="257"/>
      <c r="L5" s="257"/>
      <c r="M5" s="257"/>
    </row>
    <row r="6" spans="1:13" ht="15.6">
      <c r="A6" s="159" t="s">
        <v>4879</v>
      </c>
      <c r="B6" s="159" t="s">
        <v>4832</v>
      </c>
      <c r="C6" s="159" t="s">
        <v>4832</v>
      </c>
      <c r="D6" s="159" t="s">
        <v>4899</v>
      </c>
      <c r="E6" s="163" t="s">
        <v>6056</v>
      </c>
      <c r="F6" s="160" t="s">
        <v>4764</v>
      </c>
      <c r="G6" s="160" t="s">
        <v>5830</v>
      </c>
      <c r="H6" s="163"/>
      <c r="I6" s="257"/>
      <c r="J6" s="257"/>
      <c r="K6" s="257"/>
      <c r="L6" s="257"/>
      <c r="M6" s="257"/>
    </row>
    <row r="7" spans="1:13" ht="15.6">
      <c r="A7" s="159" t="s">
        <v>4880</v>
      </c>
      <c r="B7" s="159" t="s">
        <v>4503</v>
      </c>
      <c r="C7" s="159" t="s">
        <v>4503</v>
      </c>
      <c r="D7" s="159" t="s">
        <v>4898</v>
      </c>
      <c r="E7" s="163" t="s">
        <v>6056</v>
      </c>
      <c r="F7" s="160" t="s">
        <v>4783</v>
      </c>
      <c r="G7" s="160" t="s">
        <v>5045</v>
      </c>
      <c r="H7" s="163"/>
      <c r="I7" s="257"/>
      <c r="J7" s="257"/>
      <c r="K7" s="257"/>
      <c r="L7" s="257"/>
      <c r="M7" s="257"/>
    </row>
    <row r="8" spans="1:13" ht="15.6">
      <c r="A8" s="159" t="s">
        <v>4881</v>
      </c>
      <c r="B8" s="159" t="s">
        <v>5893</v>
      </c>
      <c r="C8" s="159" t="s">
        <v>5893</v>
      </c>
      <c r="D8" s="159" t="s">
        <v>5924</v>
      </c>
      <c r="E8" s="163" t="s">
        <v>6056</v>
      </c>
      <c r="F8" s="160" t="s">
        <v>4767</v>
      </c>
      <c r="G8" s="160" t="s">
        <v>4768</v>
      </c>
      <c r="H8" s="163"/>
      <c r="I8" s="257"/>
      <c r="J8" s="257"/>
      <c r="K8" s="257"/>
      <c r="L8" s="257"/>
      <c r="M8" s="257"/>
    </row>
    <row r="9" spans="1:13" ht="15.6">
      <c r="A9" s="159" t="s">
        <v>18</v>
      </c>
      <c r="B9" s="159" t="s">
        <v>5926</v>
      </c>
      <c r="C9" s="159" t="s">
        <v>5926</v>
      </c>
      <c r="D9" s="159" t="s">
        <v>5925</v>
      </c>
      <c r="E9" s="163" t="s">
        <v>6056</v>
      </c>
      <c r="F9" s="160" t="s">
        <v>4770</v>
      </c>
      <c r="G9" s="160" t="s">
        <v>4771</v>
      </c>
      <c r="H9" s="163"/>
      <c r="I9" s="257"/>
      <c r="J9" s="257"/>
      <c r="K9" s="257"/>
      <c r="L9" s="257"/>
      <c r="M9" s="257"/>
    </row>
    <row r="10" spans="1:13" ht="15.6">
      <c r="A10" s="159" t="s">
        <v>4882</v>
      </c>
      <c r="B10" s="159" t="s">
        <v>6215</v>
      </c>
      <c r="C10" s="159" t="s">
        <v>6215</v>
      </c>
      <c r="D10" s="159" t="s">
        <v>6270</v>
      </c>
      <c r="E10" s="163" t="s">
        <v>6056</v>
      </c>
      <c r="F10" s="160" t="s">
        <v>4759</v>
      </c>
      <c r="G10" s="160" t="s">
        <v>4763</v>
      </c>
      <c r="H10" s="163"/>
      <c r="I10" s="257"/>
      <c r="J10" s="257"/>
      <c r="K10" s="257"/>
      <c r="L10" s="257"/>
      <c r="M10" s="257"/>
    </row>
    <row r="11" spans="1:13" ht="15.6">
      <c r="A11" s="159" t="s">
        <v>9</v>
      </c>
      <c r="B11" s="159" t="s">
        <v>16</v>
      </c>
      <c r="C11" s="159" t="s">
        <v>16</v>
      </c>
      <c r="D11" s="159" t="s">
        <v>4897</v>
      </c>
      <c r="E11" s="163" t="s">
        <v>6056</v>
      </c>
      <c r="F11" s="160" t="s">
        <v>4798</v>
      </c>
      <c r="G11" s="160" t="s">
        <v>4797</v>
      </c>
      <c r="H11" s="163"/>
      <c r="I11" s="257"/>
      <c r="J11" s="257"/>
      <c r="K11" s="257"/>
      <c r="L11" s="257"/>
      <c r="M11" s="257"/>
    </row>
    <row r="12" spans="1:13" ht="15.6">
      <c r="A12" s="159" t="s">
        <v>4884</v>
      </c>
      <c r="B12" s="159" t="s">
        <v>5866</v>
      </c>
      <c r="C12" s="159" t="s">
        <v>5866</v>
      </c>
      <c r="D12" s="159" t="s">
        <v>5867</v>
      </c>
      <c r="E12" s="163" t="s">
        <v>6056</v>
      </c>
      <c r="F12" s="160" t="s">
        <v>4772</v>
      </c>
      <c r="G12" s="160" t="s">
        <v>4773</v>
      </c>
      <c r="H12" s="163"/>
      <c r="I12" s="257"/>
      <c r="J12" s="257"/>
      <c r="K12" s="257"/>
      <c r="L12" s="257"/>
      <c r="M12" s="257"/>
    </row>
    <row r="13" spans="1:13" ht="15.6">
      <c r="A13" s="159" t="s">
        <v>787</v>
      </c>
      <c r="B13" s="159" t="s">
        <v>4424</v>
      </c>
      <c r="C13" s="159" t="s">
        <v>4424</v>
      </c>
      <c r="D13" s="159" t="s">
        <v>5868</v>
      </c>
      <c r="E13" s="163" t="s">
        <v>6056</v>
      </c>
      <c r="F13" s="160" t="s">
        <v>4769</v>
      </c>
      <c r="G13" s="160" t="s">
        <v>4691</v>
      </c>
      <c r="H13" s="163"/>
      <c r="I13" s="257"/>
      <c r="J13" s="257"/>
      <c r="K13" s="257"/>
      <c r="L13" s="257"/>
      <c r="M13" s="257"/>
    </row>
    <row r="14" spans="1:13" ht="15.6">
      <c r="A14" s="159" t="s">
        <v>553</v>
      </c>
      <c r="B14" s="159" t="s">
        <v>4435</v>
      </c>
      <c r="C14" s="159" t="s">
        <v>4435</v>
      </c>
      <c r="D14" s="159" t="s">
        <v>4895</v>
      </c>
      <c r="E14" s="163" t="s">
        <v>6056</v>
      </c>
      <c r="F14" s="160" t="s">
        <v>4634</v>
      </c>
      <c r="G14" s="160" t="s">
        <v>4644</v>
      </c>
      <c r="H14" s="163"/>
      <c r="I14" s="257"/>
      <c r="J14" s="257"/>
      <c r="K14" s="257"/>
      <c r="L14" s="257"/>
      <c r="M14" s="257"/>
    </row>
    <row r="15" spans="1:13" ht="15.6">
      <c r="A15" s="159" t="s">
        <v>4885</v>
      </c>
      <c r="B15" s="159" t="s">
        <v>4704</v>
      </c>
      <c r="C15" s="159" t="s">
        <v>4704</v>
      </c>
      <c r="D15" s="159" t="s">
        <v>4902</v>
      </c>
      <c r="E15" s="163" t="s">
        <v>6056</v>
      </c>
      <c r="F15" s="160" t="s">
        <v>4756</v>
      </c>
      <c r="G15" s="160" t="s">
        <v>4643</v>
      </c>
      <c r="H15" s="163"/>
      <c r="I15" s="257"/>
      <c r="J15" s="257"/>
      <c r="K15" s="257"/>
      <c r="L15" s="257"/>
      <c r="M15" s="257"/>
    </row>
    <row r="16" spans="1:13" ht="15.6">
      <c r="A16" s="159" t="s">
        <v>4886</v>
      </c>
      <c r="B16" s="159" t="s">
        <v>4504</v>
      </c>
      <c r="C16" s="159" t="s">
        <v>4504</v>
      </c>
      <c r="D16" s="159" t="s">
        <v>4894</v>
      </c>
      <c r="E16" s="163" t="s">
        <v>6056</v>
      </c>
      <c r="F16" s="160" t="s">
        <v>8</v>
      </c>
      <c r="G16" s="160" t="s">
        <v>4785</v>
      </c>
      <c r="H16" s="163"/>
      <c r="I16" s="257"/>
      <c r="J16" s="257"/>
      <c r="K16" s="257"/>
      <c r="L16" s="257"/>
      <c r="M16" s="257"/>
    </row>
    <row r="17" spans="1:13" ht="15.6">
      <c r="A17" s="159" t="s">
        <v>4887</v>
      </c>
      <c r="B17" s="159" t="s">
        <v>4570</v>
      </c>
      <c r="C17" s="159" t="s">
        <v>4570</v>
      </c>
      <c r="D17" s="159" t="s">
        <v>6123</v>
      </c>
      <c r="E17" s="163" t="s">
        <v>6056</v>
      </c>
      <c r="F17" s="160" t="s">
        <v>4786</v>
      </c>
      <c r="G17" s="160" t="s">
        <v>4787</v>
      </c>
      <c r="H17" s="163"/>
      <c r="I17" s="257"/>
      <c r="J17" s="257"/>
      <c r="K17" s="257"/>
      <c r="L17" s="257"/>
      <c r="M17" s="257"/>
    </row>
    <row r="18" spans="1:13" ht="15.6">
      <c r="A18" s="159" t="s">
        <v>4888</v>
      </c>
      <c r="B18" s="159" t="s">
        <v>4903</v>
      </c>
      <c r="C18" s="159" t="s">
        <v>4755</v>
      </c>
      <c r="D18" s="159" t="s">
        <v>6125</v>
      </c>
      <c r="E18" s="163" t="s">
        <v>6056</v>
      </c>
      <c r="F18" s="160" t="s">
        <v>15</v>
      </c>
      <c r="G18" s="160" t="s">
        <v>4423</v>
      </c>
      <c r="H18" s="163"/>
      <c r="I18" s="257"/>
      <c r="J18" s="257"/>
      <c r="K18" s="257"/>
      <c r="L18" s="257"/>
      <c r="M18" s="257"/>
    </row>
    <row r="19" spans="1:13" ht="15.6">
      <c r="A19" s="159" t="s">
        <v>4883</v>
      </c>
      <c r="B19" s="159" t="s">
        <v>6287</v>
      </c>
      <c r="C19" s="159" t="s">
        <v>6288</v>
      </c>
      <c r="D19" s="159" t="s">
        <v>6163</v>
      </c>
      <c r="E19" s="163" t="s">
        <v>6056</v>
      </c>
      <c r="F19" s="160" t="s">
        <v>4758</v>
      </c>
      <c r="G19" s="160" t="s">
        <v>4478</v>
      </c>
      <c r="H19" s="163"/>
      <c r="I19" s="257"/>
      <c r="J19" s="257"/>
      <c r="K19" s="257"/>
      <c r="L19" s="257"/>
      <c r="M19" s="257"/>
    </row>
    <row r="20" spans="1:13" ht="18">
      <c r="A20" s="159" t="s">
        <v>578</v>
      </c>
      <c r="B20" s="159" t="s">
        <v>6289</v>
      </c>
      <c r="C20" s="159" t="s">
        <v>6290</v>
      </c>
      <c r="D20" s="159" t="s">
        <v>6110</v>
      </c>
      <c r="E20" s="163" t="s">
        <v>6056</v>
      </c>
      <c r="F20" s="160" t="s">
        <v>4760</v>
      </c>
      <c r="G20" s="160" t="s">
        <v>4761</v>
      </c>
      <c r="H20" s="163"/>
      <c r="I20" s="257"/>
      <c r="J20" s="257"/>
      <c r="K20" s="257"/>
      <c r="L20" s="257"/>
      <c r="M20" s="257"/>
    </row>
    <row r="21" spans="1:13" ht="15.6">
      <c r="A21" s="159" t="s">
        <v>12</v>
      </c>
      <c r="B21" s="159" t="s">
        <v>6291</v>
      </c>
      <c r="C21" s="159" t="s">
        <v>6291</v>
      </c>
      <c r="D21" s="159" t="s">
        <v>6292</v>
      </c>
      <c r="E21" s="163" t="s">
        <v>6056</v>
      </c>
      <c r="F21" s="160" t="s">
        <v>4788</v>
      </c>
      <c r="G21" s="160" t="s">
        <v>4789</v>
      </c>
      <c r="H21" s="163"/>
      <c r="I21" s="257"/>
      <c r="J21" s="257"/>
      <c r="K21" s="257"/>
      <c r="L21" s="257"/>
      <c r="M21" s="257"/>
    </row>
    <row r="22" spans="1:13" ht="18">
      <c r="A22" s="159" t="s">
        <v>4889</v>
      </c>
      <c r="B22" s="159" t="s">
        <v>6293</v>
      </c>
      <c r="C22" s="159" t="s">
        <v>6294</v>
      </c>
      <c r="D22" s="159" t="s">
        <v>6295</v>
      </c>
      <c r="E22" s="163" t="s">
        <v>6056</v>
      </c>
      <c r="F22" s="160" t="s">
        <v>4777</v>
      </c>
      <c r="G22" s="160" t="s">
        <v>4692</v>
      </c>
      <c r="H22" s="163"/>
      <c r="I22" s="257"/>
      <c r="J22" s="257"/>
      <c r="K22" s="257"/>
      <c r="L22" s="257"/>
      <c r="M22" s="257"/>
    </row>
    <row r="23" spans="1:13" ht="15.6">
      <c r="A23" s="159" t="s">
        <v>4890</v>
      </c>
      <c r="B23" s="159" t="s">
        <v>5039</v>
      </c>
      <c r="C23" s="159" t="s">
        <v>5039</v>
      </c>
      <c r="D23" s="159" t="s">
        <v>6296</v>
      </c>
      <c r="E23" s="163" t="s">
        <v>6056</v>
      </c>
      <c r="F23" s="160" t="s">
        <v>4790</v>
      </c>
      <c r="G23" s="160" t="s">
        <v>4791</v>
      </c>
      <c r="H23" s="163"/>
      <c r="I23" s="257"/>
      <c r="J23" s="257"/>
      <c r="K23" s="257"/>
      <c r="L23" s="257"/>
      <c r="M23" s="257"/>
    </row>
    <row r="24" spans="1:13" ht="18">
      <c r="A24" s="159" t="s">
        <v>14</v>
      </c>
      <c r="B24" s="159" t="s">
        <v>6297</v>
      </c>
      <c r="C24" s="159" t="s">
        <v>6298</v>
      </c>
      <c r="D24" s="159" t="s">
        <v>6299</v>
      </c>
      <c r="E24" s="163" t="s">
        <v>6056</v>
      </c>
      <c r="F24" s="160" t="s">
        <v>4781</v>
      </c>
      <c r="G24" s="160" t="s">
        <v>4782</v>
      </c>
      <c r="H24" s="163"/>
      <c r="I24" s="257"/>
      <c r="J24" s="257"/>
      <c r="K24" s="257"/>
      <c r="L24" s="257"/>
      <c r="M24" s="257"/>
    </row>
    <row r="25" spans="1:13" ht="15.6">
      <c r="A25" s="159" t="s">
        <v>10</v>
      </c>
      <c r="B25" s="159" t="s">
        <v>4651</v>
      </c>
      <c r="C25" s="159" t="s">
        <v>4651</v>
      </c>
      <c r="D25" s="159" t="s">
        <v>6124</v>
      </c>
      <c r="E25" s="163" t="s">
        <v>6056</v>
      </c>
      <c r="F25" s="160" t="s">
        <v>4572</v>
      </c>
      <c r="G25" s="160" t="s">
        <v>4462</v>
      </c>
      <c r="H25" s="163"/>
      <c r="I25" s="257"/>
      <c r="J25" s="257"/>
      <c r="K25" s="257"/>
      <c r="L25" s="257"/>
      <c r="M25" s="257"/>
    </row>
    <row r="26" spans="1:13" ht="18">
      <c r="A26" s="159" t="s">
        <v>11</v>
      </c>
      <c r="B26" s="159" t="s">
        <v>4907</v>
      </c>
      <c r="C26" s="159" t="s">
        <v>4877</v>
      </c>
      <c r="D26" s="159" t="s">
        <v>4925</v>
      </c>
      <c r="E26" s="163" t="s">
        <v>6056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4891</v>
      </c>
      <c r="B27" s="159" t="s">
        <v>4495</v>
      </c>
      <c r="C27" s="159" t="s">
        <v>4495</v>
      </c>
      <c r="D27" s="159" t="s">
        <v>6126</v>
      </c>
      <c r="E27" s="163" t="s">
        <v>6056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4929</v>
      </c>
      <c r="B28" s="159" t="s">
        <v>4908</v>
      </c>
      <c r="C28" s="159" t="s">
        <v>4653</v>
      </c>
      <c r="D28" s="159" t="s">
        <v>5046</v>
      </c>
      <c r="E28" s="163" t="s">
        <v>6056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4930</v>
      </c>
      <c r="B29" s="160" t="s">
        <v>5023</v>
      </c>
      <c r="C29" s="159" t="s">
        <v>4741</v>
      </c>
      <c r="D29" s="159" t="s">
        <v>5984</v>
      </c>
      <c r="E29" s="163" t="s">
        <v>6056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4931</v>
      </c>
      <c r="B30" s="160" t="s">
        <v>5024</v>
      </c>
      <c r="C30" s="159" t="s">
        <v>4708</v>
      </c>
      <c r="D30" s="159" t="s">
        <v>4896</v>
      </c>
      <c r="E30" s="163" t="s">
        <v>6056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4932</v>
      </c>
      <c r="B31" s="159" t="s">
        <v>4892</v>
      </c>
      <c r="C31" s="159" t="s">
        <v>5803</v>
      </c>
      <c r="D31" s="159" t="s">
        <v>4924</v>
      </c>
      <c r="E31" s="163" t="s">
        <v>6056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4933</v>
      </c>
      <c r="B32" s="160" t="s">
        <v>5543</v>
      </c>
      <c r="C32" s="159" t="s">
        <v>5677</v>
      </c>
      <c r="D32" s="159" t="s">
        <v>4923</v>
      </c>
      <c r="E32" s="163" t="s">
        <v>6056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4934</v>
      </c>
      <c r="B33" s="160" t="s">
        <v>5808</v>
      </c>
      <c r="C33" s="159" t="s">
        <v>5676</v>
      </c>
      <c r="D33" s="159" t="s">
        <v>4922</v>
      </c>
      <c r="E33" s="163" t="s">
        <v>6056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4935</v>
      </c>
      <c r="B34" s="160" t="s">
        <v>5545</v>
      </c>
      <c r="C34" s="159" t="s">
        <v>5678</v>
      </c>
      <c r="D34" s="159" t="s">
        <v>4921</v>
      </c>
      <c r="E34" s="163" t="s">
        <v>6056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4936</v>
      </c>
      <c r="B35" s="160" t="s">
        <v>5544</v>
      </c>
      <c r="C35" s="159" t="s">
        <v>5679</v>
      </c>
      <c r="D35" s="159" t="s">
        <v>4919</v>
      </c>
      <c r="E35" s="163" t="s">
        <v>6056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4937</v>
      </c>
      <c r="B36" s="160" t="s">
        <v>5546</v>
      </c>
      <c r="C36" s="159" t="s">
        <v>5680</v>
      </c>
      <c r="D36" s="159" t="s">
        <v>4920</v>
      </c>
      <c r="E36" s="163" t="s">
        <v>6056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4947</v>
      </c>
      <c r="B37" s="159" t="s">
        <v>4892</v>
      </c>
      <c r="C37" s="159" t="s">
        <v>5804</v>
      </c>
      <c r="D37" s="159" t="s">
        <v>4911</v>
      </c>
      <c r="E37" s="163" t="s">
        <v>6056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4948</v>
      </c>
      <c r="B38" s="160" t="s">
        <v>5550</v>
      </c>
      <c r="C38" s="159" t="s">
        <v>5682</v>
      </c>
      <c r="D38" s="159" t="s">
        <v>4912</v>
      </c>
      <c r="E38" s="164" t="s">
        <v>6056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4949</v>
      </c>
      <c r="B39" s="160" t="s">
        <v>5807</v>
      </c>
      <c r="C39" s="159" t="s">
        <v>5681</v>
      </c>
      <c r="D39" s="159" t="s">
        <v>4913</v>
      </c>
      <c r="E39" s="164" t="s">
        <v>6056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4950</v>
      </c>
      <c r="B40" s="160" t="s">
        <v>5549</v>
      </c>
      <c r="C40" s="159" t="s">
        <v>5684</v>
      </c>
      <c r="D40" s="159" t="s">
        <v>4914</v>
      </c>
      <c r="E40" s="164" t="s">
        <v>6056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4951</v>
      </c>
      <c r="B41" s="160" t="s">
        <v>5548</v>
      </c>
      <c r="C41" s="159" t="s">
        <v>5683</v>
      </c>
      <c r="D41" s="159" t="s">
        <v>4915</v>
      </c>
      <c r="E41" s="164" t="s">
        <v>6056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4952</v>
      </c>
      <c r="B42" s="160" t="s">
        <v>5547</v>
      </c>
      <c r="C42" s="159" t="s">
        <v>5685</v>
      </c>
      <c r="D42" s="159" t="s">
        <v>4893</v>
      </c>
      <c r="E42" s="164" t="s">
        <v>6056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4953</v>
      </c>
      <c r="B43" s="160" t="s">
        <v>6033</v>
      </c>
      <c r="C43" s="159" t="s">
        <v>6032</v>
      </c>
      <c r="D43" s="159" t="s">
        <v>6037</v>
      </c>
      <c r="E43" s="164" t="s">
        <v>6056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4954</v>
      </c>
      <c r="B44" s="160" t="s">
        <v>6034</v>
      </c>
      <c r="C44" s="159" t="s">
        <v>6035</v>
      </c>
      <c r="D44" s="159" t="s">
        <v>6036</v>
      </c>
      <c r="E44" s="164" t="s">
        <v>6056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4955</v>
      </c>
      <c r="B45" s="160" t="s">
        <v>5551</v>
      </c>
      <c r="C45" s="159" t="s">
        <v>5686</v>
      </c>
      <c r="D45" s="159" t="s">
        <v>4918</v>
      </c>
      <c r="E45" s="163" t="s">
        <v>6056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4956</v>
      </c>
      <c r="B46" s="160" t="s">
        <v>5552</v>
      </c>
      <c r="C46" s="159" t="s">
        <v>5687</v>
      </c>
      <c r="D46" s="159" t="s">
        <v>4916</v>
      </c>
      <c r="E46" s="163" t="s">
        <v>6056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4957</v>
      </c>
      <c r="B47" s="160" t="s">
        <v>5553</v>
      </c>
      <c r="C47" s="159" t="s">
        <v>5688</v>
      </c>
      <c r="D47" s="159" t="s">
        <v>4917</v>
      </c>
      <c r="E47" s="164" t="s">
        <v>6056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4958</v>
      </c>
      <c r="B48" s="160" t="s">
        <v>5018</v>
      </c>
      <c r="C48" s="160" t="s">
        <v>4654</v>
      </c>
      <c r="D48" s="160" t="s">
        <v>4926</v>
      </c>
      <c r="E48" s="164" t="s">
        <v>6056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4959</v>
      </c>
      <c r="B49" s="160" t="s">
        <v>5017</v>
      </c>
      <c r="C49" s="160" t="s">
        <v>4817</v>
      </c>
      <c r="D49" s="160" t="s">
        <v>4927</v>
      </c>
      <c r="E49" s="164" t="s">
        <v>6056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4960</v>
      </c>
      <c r="B50" s="160" t="s">
        <v>5805</v>
      </c>
      <c r="C50" s="160" t="s">
        <v>4564</v>
      </c>
      <c r="D50" s="160" t="s">
        <v>6127</v>
      </c>
      <c r="E50" s="164" t="s">
        <v>6056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4961</v>
      </c>
      <c r="B51" s="160" t="s">
        <v>4906</v>
      </c>
      <c r="C51" s="160" t="s">
        <v>4906</v>
      </c>
      <c r="D51" s="160" t="s">
        <v>4909</v>
      </c>
      <c r="E51" s="163" t="s">
        <v>6056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4962</v>
      </c>
      <c r="B52" s="160" t="s">
        <v>5016</v>
      </c>
      <c r="C52" s="160" t="s">
        <v>4655</v>
      </c>
      <c r="D52" s="160" t="s">
        <v>6145</v>
      </c>
      <c r="E52" s="163" t="s">
        <v>6056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4963</v>
      </c>
      <c r="B53" s="160" t="s">
        <v>5019</v>
      </c>
      <c r="C53" s="160" t="s">
        <v>5689</v>
      </c>
      <c r="D53" s="160" t="s">
        <v>4910</v>
      </c>
      <c r="E53" s="163" t="s">
        <v>6056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4788</v>
      </c>
      <c r="B54" s="160" t="s">
        <v>5554</v>
      </c>
      <c r="C54" s="160" t="s">
        <v>5690</v>
      </c>
      <c r="D54" s="160" t="s">
        <v>4928</v>
      </c>
      <c r="E54" s="164" t="s">
        <v>6056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4759</v>
      </c>
      <c r="B55" s="160" t="s">
        <v>5020</v>
      </c>
      <c r="C55" s="159" t="s">
        <v>4656</v>
      </c>
      <c r="D55" s="159" t="s">
        <v>4938</v>
      </c>
      <c r="E55" s="164" t="s">
        <v>6056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4964</v>
      </c>
      <c r="B56" s="160" t="s">
        <v>5021</v>
      </c>
      <c r="C56" s="159" t="s">
        <v>4657</v>
      </c>
      <c r="D56" s="159" t="s">
        <v>4939</v>
      </c>
      <c r="E56" s="164" t="s">
        <v>6056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4965</v>
      </c>
      <c r="B57" s="161" t="s">
        <v>6277</v>
      </c>
      <c r="C57" s="160" t="s">
        <v>4658</v>
      </c>
      <c r="D57" s="160" t="s">
        <v>6278</v>
      </c>
      <c r="E57" s="164" t="s">
        <v>6056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4760</v>
      </c>
      <c r="B58" s="161" t="s">
        <v>6279</v>
      </c>
      <c r="C58" s="160" t="s">
        <v>6279</v>
      </c>
      <c r="D58" s="160" t="s">
        <v>6280</v>
      </c>
      <c r="E58" s="164" t="s">
        <v>6056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15</v>
      </c>
      <c r="B59" s="160" t="s">
        <v>5022</v>
      </c>
      <c r="C59" s="160" t="s">
        <v>4814</v>
      </c>
      <c r="D59" s="160" t="s">
        <v>6281</v>
      </c>
      <c r="E59" s="164" t="s">
        <v>6056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4969</v>
      </c>
      <c r="B60" s="160" t="s">
        <v>4940</v>
      </c>
      <c r="C60" s="160" t="s">
        <v>4659</v>
      </c>
      <c r="D60" s="160" t="s">
        <v>4941</v>
      </c>
      <c r="E60" s="164" t="s">
        <v>6056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4970</v>
      </c>
      <c r="B61" s="160" t="s">
        <v>5864</v>
      </c>
      <c r="C61" s="159" t="s">
        <v>5864</v>
      </c>
      <c r="D61" s="159" t="s">
        <v>6200</v>
      </c>
      <c r="E61" s="164" t="s">
        <v>6056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4971</v>
      </c>
      <c r="B62" s="160" t="s">
        <v>5865</v>
      </c>
      <c r="C62" s="159" t="s">
        <v>5865</v>
      </c>
      <c r="D62" s="159" t="s">
        <v>6201</v>
      </c>
      <c r="E62" s="164" t="s">
        <v>6056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4972</v>
      </c>
      <c r="B63" s="160" t="s">
        <v>4660</v>
      </c>
      <c r="C63" s="159" t="s">
        <v>4660</v>
      </c>
      <c r="D63" s="159" t="s">
        <v>4944</v>
      </c>
      <c r="E63" s="164" t="s">
        <v>6056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4973</v>
      </c>
      <c r="B64" s="160" t="s">
        <v>4942</v>
      </c>
      <c r="C64" s="160" t="s">
        <v>4942</v>
      </c>
      <c r="D64" s="160" t="s">
        <v>4943</v>
      </c>
      <c r="E64" s="164" t="s">
        <v>6056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4992</v>
      </c>
      <c r="B65" s="159" t="s">
        <v>6025</v>
      </c>
      <c r="C65" s="160" t="s">
        <v>6024</v>
      </c>
      <c r="D65" s="160" t="s">
        <v>6026</v>
      </c>
      <c r="E65" s="164" t="s">
        <v>6056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4993</v>
      </c>
      <c r="B66" s="159" t="s">
        <v>4945</v>
      </c>
      <c r="C66" s="160" t="s">
        <v>5691</v>
      </c>
      <c r="D66" s="160" t="s">
        <v>4946</v>
      </c>
      <c r="E66" s="163" t="s">
        <v>6056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4994</v>
      </c>
      <c r="B67" s="159" t="s">
        <v>4571</v>
      </c>
      <c r="C67" s="160" t="s">
        <v>4571</v>
      </c>
      <c r="D67" s="160" t="s">
        <v>4966</v>
      </c>
      <c r="E67" s="163" t="s">
        <v>6056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4995</v>
      </c>
      <c r="B68" s="159" t="s">
        <v>6166</v>
      </c>
      <c r="C68" s="160" t="s">
        <v>6167</v>
      </c>
      <c r="D68" s="160" t="s">
        <v>6168</v>
      </c>
      <c r="E68" s="163" t="s">
        <v>6056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4651</v>
      </c>
      <c r="B69" s="159" t="s">
        <v>6176</v>
      </c>
      <c r="C69" s="160" t="s">
        <v>6177</v>
      </c>
      <c r="D69" s="160" t="s">
        <v>6178</v>
      </c>
      <c r="E69" s="163" t="s">
        <v>6056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4996</v>
      </c>
      <c r="B70" s="159" t="s">
        <v>6179</v>
      </c>
      <c r="C70" s="160" t="s">
        <v>6180</v>
      </c>
      <c r="D70" s="160" t="s">
        <v>6181</v>
      </c>
      <c r="E70" s="163" t="s">
        <v>6056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4997</v>
      </c>
      <c r="B71" s="159" t="s">
        <v>6022</v>
      </c>
      <c r="C71" s="160" t="s">
        <v>6023</v>
      </c>
      <c r="D71" s="160" t="s">
        <v>6027</v>
      </c>
      <c r="E71" s="163" t="s">
        <v>6056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4758</v>
      </c>
      <c r="B72" s="159" t="s">
        <v>4591</v>
      </c>
      <c r="C72" s="160" t="s">
        <v>5875</v>
      </c>
      <c r="D72" s="160" t="s">
        <v>4967</v>
      </c>
      <c r="E72" s="163" t="s">
        <v>6056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4998</v>
      </c>
      <c r="B73" s="159" t="s">
        <v>5805</v>
      </c>
      <c r="C73" s="160" t="s">
        <v>5805</v>
      </c>
      <c r="D73" s="160" t="s">
        <v>5871</v>
      </c>
      <c r="E73" s="163" t="s">
        <v>6056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4999</v>
      </c>
      <c r="B74" s="159" t="s">
        <v>5892</v>
      </c>
      <c r="C74" s="160" t="s">
        <v>5878</v>
      </c>
      <c r="D74" s="160" t="s">
        <v>5885</v>
      </c>
      <c r="E74" s="163" t="s">
        <v>6056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5000</v>
      </c>
      <c r="B75" s="159" t="s">
        <v>6172</v>
      </c>
      <c r="C75" s="160" t="s">
        <v>6173</v>
      </c>
      <c r="D75" s="160" t="s">
        <v>6174</v>
      </c>
      <c r="E75" s="163" t="s">
        <v>6056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4798</v>
      </c>
      <c r="B76" s="159" t="s">
        <v>5891</v>
      </c>
      <c r="C76" s="160" t="s">
        <v>5877</v>
      </c>
      <c r="D76" s="160" t="s">
        <v>5886</v>
      </c>
      <c r="E76" s="163" t="s">
        <v>6056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5001</v>
      </c>
      <c r="B77" s="159" t="s">
        <v>5890</v>
      </c>
      <c r="C77" s="160" t="s">
        <v>5876</v>
      </c>
      <c r="D77" s="160" t="s">
        <v>5887</v>
      </c>
      <c r="E77" s="163" t="s">
        <v>6056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4772</v>
      </c>
      <c r="B78" s="159" t="s">
        <v>6111</v>
      </c>
      <c r="C78" s="160" t="s">
        <v>6112</v>
      </c>
      <c r="D78" s="160" t="s">
        <v>6113</v>
      </c>
      <c r="E78" s="163" t="s">
        <v>6056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5002</v>
      </c>
      <c r="B79" s="159" t="s">
        <v>5889</v>
      </c>
      <c r="C79" s="160" t="s">
        <v>5879</v>
      </c>
      <c r="D79" s="160" t="s">
        <v>5888</v>
      </c>
      <c r="E79" s="163" t="s">
        <v>6056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5026</v>
      </c>
      <c r="B80" s="160" t="s">
        <v>4578</v>
      </c>
      <c r="C80" s="160" t="s">
        <v>4661</v>
      </c>
      <c r="D80" s="160" t="s">
        <v>6155</v>
      </c>
      <c r="E80" s="163" t="s">
        <v>6056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4764</v>
      </c>
      <c r="B81" s="160" t="s">
        <v>4577</v>
      </c>
      <c r="C81" s="160" t="s">
        <v>4662</v>
      </c>
      <c r="D81" s="160" t="s">
        <v>4968</v>
      </c>
      <c r="E81" s="163" t="s">
        <v>6056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4757</v>
      </c>
      <c r="B82" s="159" t="s">
        <v>6156</v>
      </c>
      <c r="C82" s="160" t="s">
        <v>6157</v>
      </c>
      <c r="D82" s="160" t="s">
        <v>6158</v>
      </c>
      <c r="E82" s="163" t="s">
        <v>6056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5027</v>
      </c>
      <c r="B83" s="159" t="s">
        <v>6152</v>
      </c>
      <c r="C83" s="160" t="s">
        <v>6153</v>
      </c>
      <c r="D83" s="160" t="s">
        <v>6154</v>
      </c>
      <c r="E83" s="163" t="s">
        <v>6056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5028</v>
      </c>
      <c r="B84" s="159" t="s">
        <v>5869</v>
      </c>
      <c r="C84" s="160" t="s">
        <v>5860</v>
      </c>
      <c r="D84" s="160" t="s">
        <v>5870</v>
      </c>
      <c r="E84" s="163" t="s">
        <v>6056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5029</v>
      </c>
      <c r="B85" s="161" t="s">
        <v>4576</v>
      </c>
      <c r="C85" s="160" t="s">
        <v>4663</v>
      </c>
      <c r="D85" s="160" t="s">
        <v>6066</v>
      </c>
      <c r="E85" s="163" t="s">
        <v>6056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5030</v>
      </c>
      <c r="B86" s="159" t="s">
        <v>4447</v>
      </c>
      <c r="C86" s="159" t="s">
        <v>5711</v>
      </c>
      <c r="D86" s="159" t="s">
        <v>4975</v>
      </c>
      <c r="E86" s="163" t="s">
        <v>6056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5031</v>
      </c>
      <c r="B87" s="159" t="s">
        <v>5809</v>
      </c>
      <c r="C87" s="159" t="s">
        <v>5710</v>
      </c>
      <c r="D87" s="159" t="s">
        <v>4976</v>
      </c>
      <c r="E87" s="163" t="s">
        <v>6056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5032</v>
      </c>
      <c r="B88" s="159" t="s">
        <v>5810</v>
      </c>
      <c r="C88" s="159" t="s">
        <v>5708</v>
      </c>
      <c r="D88" s="159" t="s">
        <v>4977</v>
      </c>
      <c r="E88" s="163" t="s">
        <v>6056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5033</v>
      </c>
      <c r="B89" s="159" t="s">
        <v>5811</v>
      </c>
      <c r="C89" s="159" t="s">
        <v>5709</v>
      </c>
      <c r="D89" s="159" t="s">
        <v>4978</v>
      </c>
      <c r="E89" s="163" t="s">
        <v>6056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5034</v>
      </c>
      <c r="B90" s="159" t="s">
        <v>5810</v>
      </c>
      <c r="C90" s="159" t="s">
        <v>5708</v>
      </c>
      <c r="D90" s="159" t="s">
        <v>4979</v>
      </c>
      <c r="E90" s="163" t="s">
        <v>6056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5035</v>
      </c>
      <c r="B91" s="159" t="s">
        <v>5813</v>
      </c>
      <c r="C91" s="159" t="s">
        <v>5692</v>
      </c>
      <c r="D91" s="159" t="s">
        <v>4974</v>
      </c>
      <c r="E91" s="163" t="s">
        <v>6056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5036</v>
      </c>
      <c r="B92" s="159" t="s">
        <v>4447</v>
      </c>
      <c r="C92" s="159" t="s">
        <v>5712</v>
      </c>
      <c r="D92" s="159" t="s">
        <v>4980</v>
      </c>
      <c r="E92" s="163" t="s">
        <v>6056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5037</v>
      </c>
      <c r="B93" s="159" t="s">
        <v>5814</v>
      </c>
      <c r="C93" s="159" t="s">
        <v>5707</v>
      </c>
      <c r="D93" s="159" t="s">
        <v>4981</v>
      </c>
      <c r="E93" s="163" t="s">
        <v>6056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5038</v>
      </c>
      <c r="B94" s="159" t="s">
        <v>5815</v>
      </c>
      <c r="C94" s="159" t="s">
        <v>5706</v>
      </c>
      <c r="D94" s="159" t="s">
        <v>4982</v>
      </c>
      <c r="E94" s="163" t="s">
        <v>6056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5039</v>
      </c>
      <c r="B95" s="159" t="s">
        <v>5816</v>
      </c>
      <c r="C95" s="159" t="s">
        <v>5705</v>
      </c>
      <c r="D95" s="159" t="s">
        <v>4983</v>
      </c>
      <c r="E95" s="163" t="s">
        <v>6056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5040</v>
      </c>
      <c r="B96" s="159" t="s">
        <v>5815</v>
      </c>
      <c r="C96" s="159" t="s">
        <v>5706</v>
      </c>
      <c r="D96" s="159" t="s">
        <v>4984</v>
      </c>
      <c r="E96" s="163" t="s">
        <v>6056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5041</v>
      </c>
      <c r="B97" s="159" t="s">
        <v>5812</v>
      </c>
      <c r="C97" s="159" t="s">
        <v>5693</v>
      </c>
      <c r="D97" s="159" t="s">
        <v>4985</v>
      </c>
      <c r="E97" s="163" t="s">
        <v>6056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4765</v>
      </c>
      <c r="B98" s="159" t="s">
        <v>4447</v>
      </c>
      <c r="C98" s="159" t="s">
        <v>5713</v>
      </c>
      <c r="D98" s="159" t="s">
        <v>4986</v>
      </c>
      <c r="E98" s="163" t="s">
        <v>6056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5872</v>
      </c>
      <c r="B99" s="159" t="s">
        <v>5817</v>
      </c>
      <c r="C99" s="159" t="s">
        <v>5704</v>
      </c>
      <c r="D99" s="159" t="s">
        <v>4987</v>
      </c>
      <c r="E99" s="165" t="s">
        <v>6056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5873</v>
      </c>
      <c r="B100" s="159" t="s">
        <v>5818</v>
      </c>
      <c r="C100" s="159" t="s">
        <v>5703</v>
      </c>
      <c r="D100" s="159" t="s">
        <v>4988</v>
      </c>
      <c r="E100" s="165" t="s">
        <v>6056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6020</v>
      </c>
      <c r="B101" s="159" t="s">
        <v>5819</v>
      </c>
      <c r="C101" s="159" t="s">
        <v>5702</v>
      </c>
      <c r="D101" s="159" t="s">
        <v>4989</v>
      </c>
      <c r="E101" s="165" t="s">
        <v>6056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6021</v>
      </c>
      <c r="B102" s="159" t="s">
        <v>5818</v>
      </c>
      <c r="C102" s="159" t="s">
        <v>5703</v>
      </c>
      <c r="D102" s="159" t="s">
        <v>4990</v>
      </c>
      <c r="E102" s="165" t="s">
        <v>6056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6031</v>
      </c>
      <c r="B103" s="159" t="s">
        <v>5820</v>
      </c>
      <c r="C103" s="159" t="s">
        <v>5697</v>
      </c>
      <c r="D103" s="159" t="s">
        <v>4991</v>
      </c>
      <c r="E103" s="165" t="s">
        <v>6056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6038</v>
      </c>
      <c r="B104" s="159" t="s">
        <v>4447</v>
      </c>
      <c r="C104" s="159" t="s">
        <v>5715</v>
      </c>
      <c r="D104" s="159" t="s">
        <v>5006</v>
      </c>
      <c r="E104" s="165" t="s">
        <v>6056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6039</v>
      </c>
      <c r="B105" s="159" t="s">
        <v>5821</v>
      </c>
      <c r="C105" s="159" t="s">
        <v>5698</v>
      </c>
      <c r="D105" s="159" t="s">
        <v>5005</v>
      </c>
      <c r="E105" s="165" t="s">
        <v>6056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6114</v>
      </c>
      <c r="B106" s="159" t="s">
        <v>5822</v>
      </c>
      <c r="C106" s="159" t="s">
        <v>5699</v>
      </c>
      <c r="D106" s="159" t="s">
        <v>5004</v>
      </c>
      <c r="E106" s="165" t="s">
        <v>6056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6115</v>
      </c>
      <c r="B107" s="159" t="s">
        <v>5823</v>
      </c>
      <c r="C107" s="159" t="s">
        <v>5714</v>
      </c>
      <c r="D107" s="159" t="s">
        <v>5003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6131</v>
      </c>
      <c r="B108" s="159" t="s">
        <v>5824</v>
      </c>
      <c r="C108" s="159" t="s">
        <v>5700</v>
      </c>
      <c r="D108" s="159" t="s">
        <v>5007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4790</v>
      </c>
      <c r="B109" s="159" t="s">
        <v>5825</v>
      </c>
      <c r="C109" s="159" t="s">
        <v>5701</v>
      </c>
      <c r="D109" s="159" t="s">
        <v>5008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6159</v>
      </c>
      <c r="B110" s="162" t="s">
        <v>4879</v>
      </c>
      <c r="C110" s="159" t="s">
        <v>6194</v>
      </c>
      <c r="D110" s="159" t="s">
        <v>5009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6169</v>
      </c>
      <c r="B111" s="159" t="s">
        <v>6195</v>
      </c>
      <c r="C111" s="159" t="s">
        <v>6196</v>
      </c>
      <c r="D111" s="159" t="s">
        <v>6197</v>
      </c>
    </row>
    <row r="112" spans="1:13" ht="15.6">
      <c r="A112" s="160" t="s">
        <v>6175</v>
      </c>
      <c r="B112" s="159" t="s">
        <v>4447</v>
      </c>
      <c r="C112" s="159" t="s">
        <v>5716</v>
      </c>
      <c r="D112" s="159" t="s">
        <v>5010</v>
      </c>
    </row>
    <row r="113" spans="1:4" ht="18">
      <c r="A113" s="160" t="s">
        <v>6182</v>
      </c>
      <c r="B113" s="159" t="s">
        <v>5826</v>
      </c>
      <c r="C113" s="159" t="s">
        <v>5696</v>
      </c>
      <c r="D113" s="159" t="s">
        <v>5011</v>
      </c>
    </row>
    <row r="114" spans="1:4" ht="18">
      <c r="A114" s="160" t="s">
        <v>6183</v>
      </c>
      <c r="B114" s="159" t="s">
        <v>5827</v>
      </c>
      <c r="C114" s="159" t="s">
        <v>5695</v>
      </c>
      <c r="D114" s="159" t="s">
        <v>5012</v>
      </c>
    </row>
    <row r="115" spans="1:4" ht="18">
      <c r="A115" s="160" t="s">
        <v>6198</v>
      </c>
      <c r="B115" s="159" t="s">
        <v>5828</v>
      </c>
      <c r="C115" s="159" t="s">
        <v>5694</v>
      </c>
      <c r="D115" s="159" t="s">
        <v>5013</v>
      </c>
    </row>
    <row r="116" spans="1:4" ht="18">
      <c r="A116" s="160" t="s">
        <v>6271</v>
      </c>
      <c r="B116" s="159" t="s">
        <v>5827</v>
      </c>
      <c r="C116" s="159" t="s">
        <v>5695</v>
      </c>
      <c r="D116" s="159" t="s">
        <v>5014</v>
      </c>
    </row>
    <row r="117" spans="1:4" ht="15.6">
      <c r="A117" s="160" t="s">
        <v>6300</v>
      </c>
      <c r="B117" s="159" t="s">
        <v>4879</v>
      </c>
      <c r="C117" s="159" t="s">
        <v>5717</v>
      </c>
      <c r="D117" s="159" t="s">
        <v>5015</v>
      </c>
    </row>
    <row r="118" spans="1:4" ht="15.6">
      <c r="A118" s="160" t="s">
        <v>6301</v>
      </c>
      <c r="B118" s="159" t="s">
        <v>5801</v>
      </c>
      <c r="C118" s="159" t="s">
        <v>5718</v>
      </c>
      <c r="D118" s="159" t="s">
        <v>5042</v>
      </c>
    </row>
    <row r="119" spans="1:4" ht="15.6">
      <c r="A119" s="160" t="s">
        <v>6302</v>
      </c>
      <c r="B119" s="159" t="s">
        <v>4561</v>
      </c>
      <c r="C119" s="159" t="s">
        <v>4561</v>
      </c>
      <c r="D119" s="159" t="s">
        <v>5025</v>
      </c>
    </row>
    <row r="120" spans="1:4" ht="15.6">
      <c r="A120" s="160" t="s">
        <v>6303</v>
      </c>
      <c r="B120" s="159" t="s">
        <v>6011</v>
      </c>
      <c r="C120" s="159" t="s">
        <v>6011</v>
      </c>
      <c r="D120" s="159" t="s">
        <v>6122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12" t="s">
        <v>6040</v>
      </c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  <c r="U1" s="312"/>
      <c r="V1" s="312"/>
      <c r="W1" s="312"/>
      <c r="X1" s="312"/>
      <c r="Y1" s="312"/>
      <c r="Z1" s="312"/>
      <c r="AA1" s="312"/>
      <c r="AB1" s="312"/>
      <c r="AC1" s="313"/>
      <c r="AD1" s="316" t="s">
        <v>4438</v>
      </c>
      <c r="AE1" s="317"/>
      <c r="AF1" s="317"/>
      <c r="AG1" s="317"/>
      <c r="AH1" s="317"/>
      <c r="AI1" s="317"/>
      <c r="AJ1" s="317"/>
      <c r="AK1" s="317"/>
      <c r="AL1" s="317"/>
      <c r="AM1" s="317"/>
      <c r="AN1" s="317"/>
      <c r="AO1" s="317"/>
      <c r="AP1" s="317"/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8"/>
      <c r="CG1" s="322" t="s">
        <v>4448</v>
      </c>
      <c r="CH1" s="323"/>
      <c r="CI1" s="323"/>
      <c r="CJ1" s="323"/>
      <c r="CK1" s="323"/>
      <c r="CL1" s="323"/>
      <c r="CM1" s="323"/>
      <c r="CN1" s="323"/>
      <c r="CO1" s="323"/>
      <c r="CP1" s="323"/>
      <c r="CQ1" s="323"/>
      <c r="CR1" s="323"/>
      <c r="CS1" s="323"/>
      <c r="CT1" s="323"/>
      <c r="CU1" s="323"/>
      <c r="CV1" s="323"/>
      <c r="CW1" s="323"/>
      <c r="CX1" s="323"/>
      <c r="CY1" s="323"/>
      <c r="CZ1" s="323"/>
      <c r="DA1" s="323"/>
      <c r="DB1" s="323"/>
      <c r="DC1" s="323"/>
      <c r="DD1" s="323"/>
      <c r="DE1" s="323"/>
      <c r="DF1" s="323"/>
      <c r="DG1" s="323"/>
      <c r="DH1" s="323"/>
      <c r="DI1" s="323"/>
      <c r="DJ1" s="323"/>
      <c r="DK1" s="323"/>
      <c r="DL1" s="324"/>
      <c r="DM1" s="328" t="s">
        <v>5974</v>
      </c>
      <c r="DN1" s="331" t="s">
        <v>4561</v>
      </c>
      <c r="DO1" s="328" t="s">
        <v>6011</v>
      </c>
    </row>
    <row r="2" spans="1:119" ht="18" customHeight="1" thickBot="1">
      <c r="A2" s="312"/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3"/>
      <c r="AD2" s="319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  <c r="BG2" s="320"/>
      <c r="BH2" s="320"/>
      <c r="BI2" s="320"/>
      <c r="BJ2" s="320"/>
      <c r="BK2" s="320"/>
      <c r="BL2" s="320"/>
      <c r="BM2" s="320"/>
      <c r="BN2" s="320"/>
      <c r="BO2" s="320"/>
      <c r="BP2" s="320"/>
      <c r="BQ2" s="320"/>
      <c r="BR2" s="320"/>
      <c r="BS2" s="320"/>
      <c r="BT2" s="320"/>
      <c r="BU2" s="320"/>
      <c r="BV2" s="320"/>
      <c r="BW2" s="320"/>
      <c r="BX2" s="320"/>
      <c r="BY2" s="320"/>
      <c r="BZ2" s="320"/>
      <c r="CA2" s="320"/>
      <c r="CB2" s="320"/>
      <c r="CC2" s="320"/>
      <c r="CD2" s="320"/>
      <c r="CE2" s="320"/>
      <c r="CF2" s="321"/>
      <c r="CG2" s="325"/>
      <c r="CH2" s="326"/>
      <c r="CI2" s="326"/>
      <c r="CJ2" s="326"/>
      <c r="CK2" s="326"/>
      <c r="CL2" s="326"/>
      <c r="CM2" s="326"/>
      <c r="CN2" s="326"/>
      <c r="CO2" s="326"/>
      <c r="CP2" s="326"/>
      <c r="CQ2" s="326"/>
      <c r="CR2" s="326"/>
      <c r="CS2" s="326"/>
      <c r="CT2" s="326"/>
      <c r="CU2" s="326"/>
      <c r="CV2" s="326"/>
      <c r="CW2" s="326"/>
      <c r="CX2" s="326"/>
      <c r="CY2" s="326"/>
      <c r="CZ2" s="326"/>
      <c r="DA2" s="326"/>
      <c r="DB2" s="326"/>
      <c r="DC2" s="326"/>
      <c r="DD2" s="326"/>
      <c r="DE2" s="326"/>
      <c r="DF2" s="326"/>
      <c r="DG2" s="326"/>
      <c r="DH2" s="326"/>
      <c r="DI2" s="326"/>
      <c r="DJ2" s="326"/>
      <c r="DK2" s="326"/>
      <c r="DL2" s="327"/>
      <c r="DM2" s="329"/>
      <c r="DN2" s="332"/>
      <c r="DO2" s="329"/>
    </row>
    <row r="3" spans="1:119" ht="18" customHeight="1" thickBot="1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5"/>
      <c r="AD3" s="334" t="s">
        <v>6308</v>
      </c>
      <c r="AE3" s="335"/>
      <c r="AF3" s="335"/>
      <c r="AG3" s="335"/>
      <c r="AH3" s="335"/>
      <c r="AI3" s="336"/>
      <c r="AJ3" s="334" t="s">
        <v>6309</v>
      </c>
      <c r="AK3" s="335"/>
      <c r="AL3" s="335"/>
      <c r="AM3" s="335"/>
      <c r="AN3" s="335"/>
      <c r="AO3" s="335"/>
      <c r="AP3" s="335"/>
      <c r="AQ3" s="336"/>
      <c r="AR3" s="334" t="s">
        <v>6310</v>
      </c>
      <c r="AS3" s="335"/>
      <c r="AT3" s="335"/>
      <c r="AU3" s="335"/>
      <c r="AV3" s="336"/>
      <c r="AW3" s="337" t="s">
        <v>6311</v>
      </c>
      <c r="AX3" s="338"/>
      <c r="AY3" s="338"/>
      <c r="AZ3" s="338"/>
      <c r="BA3" s="338"/>
      <c r="BB3" s="338"/>
      <c r="BC3" s="338"/>
      <c r="BD3" s="338"/>
      <c r="BE3" s="338"/>
      <c r="BF3" s="338"/>
      <c r="BG3" s="338"/>
      <c r="BH3" s="338"/>
      <c r="BI3" s="338"/>
      <c r="BJ3" s="338"/>
      <c r="BK3" s="338"/>
      <c r="BL3" s="334" t="s">
        <v>4570</v>
      </c>
      <c r="BM3" s="335"/>
      <c r="BN3" s="335"/>
      <c r="BO3" s="335"/>
      <c r="BP3" s="335"/>
      <c r="BQ3" s="335"/>
      <c r="BR3" s="335"/>
      <c r="BS3" s="335"/>
      <c r="BT3" s="334" t="s">
        <v>5880</v>
      </c>
      <c r="BU3" s="335"/>
      <c r="BV3" s="335"/>
      <c r="BW3" s="335"/>
      <c r="BX3" s="335"/>
      <c r="BY3" s="335"/>
      <c r="BZ3" s="336"/>
      <c r="CA3" s="335" t="s">
        <v>4645</v>
      </c>
      <c r="CB3" s="335"/>
      <c r="CC3" s="335"/>
      <c r="CD3" s="335"/>
      <c r="CE3" s="335"/>
      <c r="CF3" s="336"/>
      <c r="CG3" s="339" t="s">
        <v>6308</v>
      </c>
      <c r="CH3" s="339"/>
      <c r="CI3" s="339"/>
      <c r="CJ3" s="339"/>
      <c r="CK3" s="339"/>
      <c r="CL3" s="340"/>
      <c r="CM3" s="339" t="s">
        <v>6309</v>
      </c>
      <c r="CN3" s="339"/>
      <c r="CO3" s="339"/>
      <c r="CP3" s="339"/>
      <c r="CQ3" s="339"/>
      <c r="CR3" s="340"/>
      <c r="CS3" s="341" t="s">
        <v>6312</v>
      </c>
      <c r="CT3" s="339"/>
      <c r="CU3" s="339"/>
      <c r="CV3" s="339"/>
      <c r="CW3" s="339"/>
      <c r="CX3" s="339"/>
      <c r="CY3" s="341" t="s">
        <v>4574</v>
      </c>
      <c r="CZ3" s="339"/>
      <c r="DA3" s="339"/>
      <c r="DB3" s="340"/>
      <c r="DC3" s="341" t="s">
        <v>4575</v>
      </c>
      <c r="DD3" s="339"/>
      <c r="DE3" s="340"/>
      <c r="DF3" s="272" t="s">
        <v>4571</v>
      </c>
      <c r="DG3" s="339" t="s">
        <v>4564</v>
      </c>
      <c r="DH3" s="339"/>
      <c r="DI3" s="339"/>
      <c r="DJ3" s="339"/>
      <c r="DK3" s="339"/>
      <c r="DL3" s="340"/>
      <c r="DM3" s="329"/>
      <c r="DN3" s="332"/>
      <c r="DO3" s="329"/>
    </row>
    <row r="4" spans="1:119" ht="18" customHeight="1">
      <c r="A4" s="429" t="s">
        <v>6133</v>
      </c>
      <c r="B4" s="429" t="s">
        <v>6132</v>
      </c>
      <c r="C4" s="429" t="s">
        <v>6313</v>
      </c>
      <c r="D4" s="447" t="s">
        <v>4</v>
      </c>
      <c r="E4" s="447" t="s">
        <v>4832</v>
      </c>
      <c r="F4" s="429" t="s">
        <v>4503</v>
      </c>
      <c r="G4" s="427" t="s">
        <v>5893</v>
      </c>
      <c r="H4" s="427" t="s">
        <v>5926</v>
      </c>
      <c r="I4" s="427" t="s">
        <v>6215</v>
      </c>
      <c r="J4" s="429" t="s">
        <v>16</v>
      </c>
      <c r="K4" s="429" t="s">
        <v>5866</v>
      </c>
      <c r="L4" s="427" t="s">
        <v>4424</v>
      </c>
      <c r="M4" s="427" t="s">
        <v>4435</v>
      </c>
      <c r="N4" s="429" t="s">
        <v>4704</v>
      </c>
      <c r="O4" s="429" t="s">
        <v>4504</v>
      </c>
      <c r="P4" s="456" t="s">
        <v>6314</v>
      </c>
      <c r="Q4" s="456" t="s">
        <v>4903</v>
      </c>
      <c r="R4" s="427" t="s">
        <v>6287</v>
      </c>
      <c r="S4" s="429" t="s">
        <v>6304</v>
      </c>
      <c r="T4" s="427" t="s">
        <v>6291</v>
      </c>
      <c r="U4" s="429" t="s">
        <v>6305</v>
      </c>
      <c r="V4" s="427" t="s">
        <v>5039</v>
      </c>
      <c r="W4" s="429" t="s">
        <v>6306</v>
      </c>
      <c r="X4" s="427" t="s">
        <v>4651</v>
      </c>
      <c r="Y4" s="429" t="s">
        <v>4876</v>
      </c>
      <c r="Z4" s="429" t="s">
        <v>4495</v>
      </c>
      <c r="AA4" s="429" t="s">
        <v>4563</v>
      </c>
      <c r="AB4" s="435" t="s">
        <v>4904</v>
      </c>
      <c r="AC4" s="437" t="s">
        <v>4905</v>
      </c>
      <c r="AD4" s="439" t="s">
        <v>6315</v>
      </c>
      <c r="AE4" s="415" t="s">
        <v>5534</v>
      </c>
      <c r="AF4" s="415" t="s">
        <v>4439</v>
      </c>
      <c r="AG4" s="433" t="s">
        <v>5539</v>
      </c>
      <c r="AH4" s="433" t="s">
        <v>5538</v>
      </c>
      <c r="AI4" s="445" t="s">
        <v>5555</v>
      </c>
      <c r="AJ4" s="419" t="s">
        <v>6315</v>
      </c>
      <c r="AK4" s="415" t="s">
        <v>5535</v>
      </c>
      <c r="AL4" s="415" t="s">
        <v>4436</v>
      </c>
      <c r="AM4" s="421" t="s">
        <v>5536</v>
      </c>
      <c r="AN4" s="421" t="s">
        <v>5537</v>
      </c>
      <c r="AO4" s="423" t="s">
        <v>5556</v>
      </c>
      <c r="AP4" s="425" t="s">
        <v>4461</v>
      </c>
      <c r="AQ4" s="441" t="s">
        <v>4474</v>
      </c>
      <c r="AR4" s="443" t="s">
        <v>5542</v>
      </c>
      <c r="AS4" s="415" t="s">
        <v>5540</v>
      </c>
      <c r="AT4" s="415" t="s">
        <v>5541</v>
      </c>
      <c r="AU4" s="417" t="s">
        <v>4473</v>
      </c>
      <c r="AV4" s="417" t="s">
        <v>4815</v>
      </c>
      <c r="AW4" s="419" t="s">
        <v>5805</v>
      </c>
      <c r="AX4" s="390" t="s">
        <v>4496</v>
      </c>
      <c r="AY4" s="390" t="s">
        <v>4592</v>
      </c>
      <c r="AZ4" s="402" t="s">
        <v>4441</v>
      </c>
      <c r="BA4" s="402" t="s">
        <v>4440</v>
      </c>
      <c r="BB4" s="388" t="s">
        <v>4472</v>
      </c>
      <c r="BC4" s="388" t="s">
        <v>4471</v>
      </c>
      <c r="BD4" s="414" t="s">
        <v>6277</v>
      </c>
      <c r="BE4" s="414" t="s">
        <v>6279</v>
      </c>
      <c r="BF4" s="388" t="s">
        <v>4813</v>
      </c>
      <c r="BG4" s="394" t="s">
        <v>4463</v>
      </c>
      <c r="BH4" s="390" t="s">
        <v>6202</v>
      </c>
      <c r="BI4" s="390" t="s">
        <v>6203</v>
      </c>
      <c r="BJ4" s="402" t="s">
        <v>4442</v>
      </c>
      <c r="BK4" s="396" t="s">
        <v>6207</v>
      </c>
      <c r="BL4" s="398" t="s">
        <v>6029</v>
      </c>
      <c r="BM4" s="384" t="s">
        <v>4816</v>
      </c>
      <c r="BN4" s="384" t="s">
        <v>4571</v>
      </c>
      <c r="BO4" s="384" t="s">
        <v>6170</v>
      </c>
      <c r="BP4" s="384" t="s">
        <v>6184</v>
      </c>
      <c r="BQ4" s="384" t="s">
        <v>6185</v>
      </c>
      <c r="BR4" s="384" t="s">
        <v>6028</v>
      </c>
      <c r="BS4" s="386" t="s">
        <v>4591</v>
      </c>
      <c r="BT4" s="398" t="s">
        <v>5805</v>
      </c>
      <c r="BU4" s="384" t="s">
        <v>5881</v>
      </c>
      <c r="BV4" s="384" t="s">
        <v>6171</v>
      </c>
      <c r="BW4" s="384" t="s">
        <v>5882</v>
      </c>
      <c r="BX4" s="384" t="s">
        <v>5883</v>
      </c>
      <c r="BY4" s="384" t="s">
        <v>6109</v>
      </c>
      <c r="BZ4" s="400" t="s">
        <v>5884</v>
      </c>
      <c r="CA4" s="386" t="s">
        <v>4578</v>
      </c>
      <c r="CB4" s="386" t="s">
        <v>4577</v>
      </c>
      <c r="CC4" s="384" t="s">
        <v>6160</v>
      </c>
      <c r="CD4" s="384" t="s">
        <v>6151</v>
      </c>
      <c r="CE4" s="384" t="s">
        <v>5858</v>
      </c>
      <c r="CF4" s="451" t="s">
        <v>4576</v>
      </c>
      <c r="CG4" s="408" t="s">
        <v>4447</v>
      </c>
      <c r="CH4" s="344" t="s">
        <v>4443</v>
      </c>
      <c r="CI4" s="344" t="s">
        <v>4444</v>
      </c>
      <c r="CJ4" s="344" t="s">
        <v>4445</v>
      </c>
      <c r="CK4" s="344" t="s">
        <v>4446</v>
      </c>
      <c r="CL4" s="392" t="s">
        <v>4879</v>
      </c>
      <c r="CM4" s="449" t="s">
        <v>4447</v>
      </c>
      <c r="CN4" s="344" t="s">
        <v>4443</v>
      </c>
      <c r="CO4" s="344" t="s">
        <v>4444</v>
      </c>
      <c r="CP4" s="344" t="s">
        <v>4445</v>
      </c>
      <c r="CQ4" s="344" t="s">
        <v>4446</v>
      </c>
      <c r="CR4" s="392" t="s">
        <v>4879</v>
      </c>
      <c r="CS4" s="408" t="s">
        <v>4447</v>
      </c>
      <c r="CT4" s="342" t="s">
        <v>4443</v>
      </c>
      <c r="CU4" s="342" t="s">
        <v>4444</v>
      </c>
      <c r="CV4" s="342" t="s">
        <v>4445</v>
      </c>
      <c r="CW4" s="344" t="s">
        <v>4446</v>
      </c>
      <c r="CX4" s="392" t="s">
        <v>4879</v>
      </c>
      <c r="CY4" s="412" t="s">
        <v>4447</v>
      </c>
      <c r="CZ4" s="342" t="s">
        <v>4593</v>
      </c>
      <c r="DA4" s="342" t="s">
        <v>4594</v>
      </c>
      <c r="DB4" s="392" t="s">
        <v>4879</v>
      </c>
      <c r="DC4" s="404" t="s">
        <v>4444</v>
      </c>
      <c r="DD4" s="344" t="s">
        <v>4446</v>
      </c>
      <c r="DE4" s="392" t="s">
        <v>4879</v>
      </c>
      <c r="DF4" s="406" t="s">
        <v>4443</v>
      </c>
      <c r="DG4" s="410" t="s">
        <v>4447</v>
      </c>
      <c r="DH4" s="342" t="s">
        <v>4443</v>
      </c>
      <c r="DI4" s="342" t="s">
        <v>4444</v>
      </c>
      <c r="DJ4" s="342" t="s">
        <v>4445</v>
      </c>
      <c r="DK4" s="344" t="s">
        <v>4446</v>
      </c>
      <c r="DL4" s="346" t="s">
        <v>4879</v>
      </c>
      <c r="DM4" s="329"/>
      <c r="DN4" s="332"/>
      <c r="DO4" s="329"/>
    </row>
    <row r="5" spans="1:119" ht="16.2" customHeight="1" thickBot="1">
      <c r="A5" s="434"/>
      <c r="B5" s="434"/>
      <c r="C5" s="434"/>
      <c r="D5" s="448"/>
      <c r="E5" s="448"/>
      <c r="F5" s="434"/>
      <c r="G5" s="431"/>
      <c r="H5" s="431"/>
      <c r="I5" s="431"/>
      <c r="J5" s="430"/>
      <c r="K5" s="434"/>
      <c r="L5" s="431"/>
      <c r="M5" s="431"/>
      <c r="N5" s="434"/>
      <c r="O5" s="434"/>
      <c r="P5" s="457"/>
      <c r="Q5" s="457"/>
      <c r="R5" s="431"/>
      <c r="S5" s="434"/>
      <c r="T5" s="428"/>
      <c r="U5" s="430"/>
      <c r="V5" s="428"/>
      <c r="W5" s="430"/>
      <c r="X5" s="431"/>
      <c r="Y5" s="434"/>
      <c r="Z5" s="434"/>
      <c r="AA5" s="434"/>
      <c r="AB5" s="436"/>
      <c r="AC5" s="438"/>
      <c r="AD5" s="440"/>
      <c r="AE5" s="432"/>
      <c r="AF5" s="432"/>
      <c r="AG5" s="424"/>
      <c r="AH5" s="424"/>
      <c r="AI5" s="446"/>
      <c r="AJ5" s="420"/>
      <c r="AK5" s="432"/>
      <c r="AL5" s="432"/>
      <c r="AM5" s="422"/>
      <c r="AN5" s="422"/>
      <c r="AO5" s="424"/>
      <c r="AP5" s="426"/>
      <c r="AQ5" s="442"/>
      <c r="AR5" s="444"/>
      <c r="AS5" s="416"/>
      <c r="AT5" s="416"/>
      <c r="AU5" s="418"/>
      <c r="AV5" s="418"/>
      <c r="AW5" s="420"/>
      <c r="AX5" s="391"/>
      <c r="AY5" s="391"/>
      <c r="AZ5" s="403"/>
      <c r="BA5" s="403"/>
      <c r="BB5" s="389"/>
      <c r="BC5" s="389"/>
      <c r="BD5" s="389"/>
      <c r="BE5" s="389"/>
      <c r="BF5" s="389"/>
      <c r="BG5" s="395"/>
      <c r="BH5" s="391"/>
      <c r="BI5" s="391"/>
      <c r="BJ5" s="403"/>
      <c r="BK5" s="397"/>
      <c r="BL5" s="399"/>
      <c r="BM5" s="385"/>
      <c r="BN5" s="385"/>
      <c r="BO5" s="385"/>
      <c r="BP5" s="385"/>
      <c r="BQ5" s="385"/>
      <c r="BR5" s="385"/>
      <c r="BS5" s="387"/>
      <c r="BT5" s="399"/>
      <c r="BU5" s="385"/>
      <c r="BV5" s="385"/>
      <c r="BW5" s="385"/>
      <c r="BX5" s="385"/>
      <c r="BY5" s="385"/>
      <c r="BZ5" s="401"/>
      <c r="CA5" s="387"/>
      <c r="CB5" s="387"/>
      <c r="CC5" s="385"/>
      <c r="CD5" s="385"/>
      <c r="CE5" s="385"/>
      <c r="CF5" s="452"/>
      <c r="CG5" s="409"/>
      <c r="CH5" s="345"/>
      <c r="CI5" s="345"/>
      <c r="CJ5" s="345"/>
      <c r="CK5" s="345"/>
      <c r="CL5" s="393"/>
      <c r="CM5" s="450"/>
      <c r="CN5" s="345"/>
      <c r="CO5" s="345"/>
      <c r="CP5" s="345"/>
      <c r="CQ5" s="345"/>
      <c r="CR5" s="393"/>
      <c r="CS5" s="409"/>
      <c r="CT5" s="343"/>
      <c r="CU5" s="343"/>
      <c r="CV5" s="343"/>
      <c r="CW5" s="345"/>
      <c r="CX5" s="393"/>
      <c r="CY5" s="413"/>
      <c r="CZ5" s="343"/>
      <c r="DA5" s="343"/>
      <c r="DB5" s="393"/>
      <c r="DC5" s="405"/>
      <c r="DD5" s="345"/>
      <c r="DE5" s="393"/>
      <c r="DF5" s="407"/>
      <c r="DG5" s="411"/>
      <c r="DH5" s="343"/>
      <c r="DI5" s="343"/>
      <c r="DJ5" s="343"/>
      <c r="DK5" s="345"/>
      <c r="DL5" s="347"/>
      <c r="DM5" s="330"/>
      <c r="DN5" s="333"/>
      <c r="DO5" s="330"/>
    </row>
    <row r="6" spans="1:119" ht="15.6" customHeight="1">
      <c r="A6" s="18">
        <v>1</v>
      </c>
      <c r="B6" s="348">
        <v>1</v>
      </c>
      <c r="C6" s="348">
        <v>1970</v>
      </c>
      <c r="D6" s="453" t="s">
        <v>4664</v>
      </c>
      <c r="E6" s="373" t="s">
        <v>4833</v>
      </c>
      <c r="F6" s="348">
        <v>24</v>
      </c>
      <c r="G6" s="368" t="s">
        <v>5895</v>
      </c>
      <c r="H6" s="368" t="s">
        <v>5894</v>
      </c>
      <c r="I6" s="368" t="s">
        <v>6216</v>
      </c>
      <c r="J6" s="284" t="s">
        <v>6316</v>
      </c>
      <c r="K6" s="300" t="s">
        <v>4383</v>
      </c>
      <c r="L6" s="310" t="s">
        <v>5791</v>
      </c>
      <c r="M6" s="301" t="s">
        <v>4507</v>
      </c>
      <c r="N6" s="310" t="s">
        <v>4700</v>
      </c>
      <c r="O6" s="18" t="s">
        <v>4506</v>
      </c>
      <c r="P6" s="310" t="s">
        <v>6317</v>
      </c>
      <c r="Q6" s="310" t="s">
        <v>4420</v>
      </c>
      <c r="R6" s="310" t="s">
        <v>6317</v>
      </c>
      <c r="S6" s="310" t="s">
        <v>5791</v>
      </c>
      <c r="T6" s="59" t="s">
        <v>4420</v>
      </c>
      <c r="U6" s="59" t="s">
        <v>5791</v>
      </c>
      <c r="V6" s="59" t="s">
        <v>4420</v>
      </c>
      <c r="W6" s="59" t="s">
        <v>5791</v>
      </c>
      <c r="X6" s="310" t="s">
        <v>4420</v>
      </c>
      <c r="Y6" s="310" t="s">
        <v>5791</v>
      </c>
      <c r="Z6" s="310" t="s">
        <v>6048</v>
      </c>
      <c r="AA6" s="18">
        <v>6</v>
      </c>
      <c r="AB6" s="223">
        <v>0</v>
      </c>
      <c r="AC6" s="18">
        <v>0</v>
      </c>
      <c r="AD6" s="300" t="s">
        <v>520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0" t="s">
        <v>498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1" t="s">
        <v>5806</v>
      </c>
      <c r="AX6" s="310" t="s">
        <v>6129</v>
      </c>
      <c r="AY6" s="21" t="s">
        <v>6129</v>
      </c>
      <c r="AZ6" s="21">
        <v>19.05</v>
      </c>
      <c r="BA6" s="310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6318</v>
      </c>
      <c r="BH6" s="310" t="s">
        <v>6204</v>
      </c>
      <c r="BI6" s="310" t="s">
        <v>6204</v>
      </c>
      <c r="BJ6" s="310">
        <v>2</v>
      </c>
      <c r="BK6" s="310">
        <v>4</v>
      </c>
      <c r="BL6" s="196" t="s">
        <v>5791</v>
      </c>
      <c r="BM6" s="197" t="s">
        <v>5791</v>
      </c>
      <c r="BN6" s="197" t="s">
        <v>5791</v>
      </c>
      <c r="BO6" s="197" t="s">
        <v>5791</v>
      </c>
      <c r="BP6" s="197" t="s">
        <v>5791</v>
      </c>
      <c r="BQ6" s="197" t="s">
        <v>5791</v>
      </c>
      <c r="BR6" s="197" t="s">
        <v>5791</v>
      </c>
      <c r="BS6" s="197" t="s">
        <v>5791</v>
      </c>
      <c r="BT6" s="196" t="s">
        <v>5791</v>
      </c>
      <c r="BU6" s="197" t="s">
        <v>5791</v>
      </c>
      <c r="BV6" s="197" t="s">
        <v>5791</v>
      </c>
      <c r="BW6" s="197" t="s">
        <v>5791</v>
      </c>
      <c r="BX6" s="197" t="s">
        <v>5791</v>
      </c>
      <c r="BY6" s="197" t="s">
        <v>5791</v>
      </c>
      <c r="BZ6" s="212" t="s">
        <v>5791</v>
      </c>
      <c r="CA6" s="197" t="s">
        <v>5791</v>
      </c>
      <c r="CB6" s="197" t="s">
        <v>5791</v>
      </c>
      <c r="CC6" s="197" t="s">
        <v>5791</v>
      </c>
      <c r="CD6" s="197" t="s">
        <v>5791</v>
      </c>
      <c r="CE6" s="197" t="s">
        <v>5791</v>
      </c>
      <c r="CF6" s="212" t="s">
        <v>5791</v>
      </c>
      <c r="CG6" s="302" t="s">
        <v>4425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297" t="s">
        <v>4425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297" t="s">
        <v>4421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5791</v>
      </c>
      <c r="CZ6" s="199" t="s">
        <v>5791</v>
      </c>
      <c r="DA6" s="199" t="s">
        <v>5791</v>
      </c>
      <c r="DB6" s="200" t="s">
        <v>5791</v>
      </c>
      <c r="DC6" s="198" t="s">
        <v>5791</v>
      </c>
      <c r="DD6" s="199" t="s">
        <v>5791</v>
      </c>
      <c r="DE6" s="200" t="s">
        <v>5791</v>
      </c>
      <c r="DF6" s="273" t="s">
        <v>5791</v>
      </c>
      <c r="DG6" s="309" t="s">
        <v>4422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4759</v>
      </c>
      <c r="DN6" s="310" t="s">
        <v>4435</v>
      </c>
      <c r="DO6" s="306" t="s">
        <v>4565</v>
      </c>
    </row>
    <row r="7" spans="1:119">
      <c r="A7" s="18">
        <v>2</v>
      </c>
      <c r="B7" s="349"/>
      <c r="C7" s="349"/>
      <c r="D7" s="454"/>
      <c r="E7" s="374"/>
      <c r="F7" s="349"/>
      <c r="G7" s="369"/>
      <c r="H7" s="369"/>
      <c r="I7" s="369"/>
      <c r="J7" s="286" t="s">
        <v>4397</v>
      </c>
      <c r="K7" s="301" t="s">
        <v>4383</v>
      </c>
      <c r="L7" s="310" t="s">
        <v>5791</v>
      </c>
      <c r="M7" s="301" t="s">
        <v>4507</v>
      </c>
      <c r="N7" s="310" t="s">
        <v>4700</v>
      </c>
      <c r="O7" s="18" t="s">
        <v>4506</v>
      </c>
      <c r="P7" s="310" t="s">
        <v>6317</v>
      </c>
      <c r="Q7" s="310" t="s">
        <v>4420</v>
      </c>
      <c r="R7" s="310" t="s">
        <v>6164</v>
      </c>
      <c r="S7" s="310">
        <v>12</v>
      </c>
      <c r="T7" s="59" t="s">
        <v>4420</v>
      </c>
      <c r="U7" s="59" t="s">
        <v>5791</v>
      </c>
      <c r="V7" s="59" t="s">
        <v>4420</v>
      </c>
      <c r="W7" s="59" t="s">
        <v>5791</v>
      </c>
      <c r="X7" s="310" t="s">
        <v>4420</v>
      </c>
      <c r="Y7" s="310" t="s">
        <v>5791</v>
      </c>
      <c r="Z7" s="310" t="s">
        <v>6048</v>
      </c>
      <c r="AA7" s="18">
        <v>6</v>
      </c>
      <c r="AB7" s="224">
        <v>0</v>
      </c>
      <c r="AC7" s="18">
        <v>0</v>
      </c>
      <c r="AD7" s="301" t="s">
        <v>520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1" t="s">
        <v>498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1" t="s">
        <v>5806</v>
      </c>
      <c r="AX7" s="310" t="s">
        <v>6129</v>
      </c>
      <c r="AY7" s="21" t="s">
        <v>6129</v>
      </c>
      <c r="AZ7" s="21">
        <v>19.05</v>
      </c>
      <c r="BA7" s="310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6318</v>
      </c>
      <c r="BH7" s="310" t="s">
        <v>6204</v>
      </c>
      <c r="BI7" s="310" t="s">
        <v>6204</v>
      </c>
      <c r="BJ7" s="310">
        <v>2</v>
      </c>
      <c r="BK7" s="310">
        <v>4</v>
      </c>
      <c r="BL7" s="196" t="s">
        <v>5791</v>
      </c>
      <c r="BM7" s="197" t="s">
        <v>5791</v>
      </c>
      <c r="BN7" s="197" t="s">
        <v>5791</v>
      </c>
      <c r="BO7" s="197" t="s">
        <v>5791</v>
      </c>
      <c r="BP7" s="197" t="s">
        <v>5791</v>
      </c>
      <c r="BQ7" s="197" t="s">
        <v>5791</v>
      </c>
      <c r="BR7" s="197" t="s">
        <v>5791</v>
      </c>
      <c r="BS7" s="197" t="s">
        <v>5791</v>
      </c>
      <c r="BT7" s="196" t="s">
        <v>5791</v>
      </c>
      <c r="BU7" s="197" t="s">
        <v>5791</v>
      </c>
      <c r="BV7" s="197" t="s">
        <v>5791</v>
      </c>
      <c r="BW7" s="197" t="s">
        <v>5791</v>
      </c>
      <c r="BX7" s="197" t="s">
        <v>5791</v>
      </c>
      <c r="BY7" s="197" t="s">
        <v>5791</v>
      </c>
      <c r="BZ7" s="212" t="s">
        <v>5791</v>
      </c>
      <c r="CA7" s="197" t="s">
        <v>5791</v>
      </c>
      <c r="CB7" s="197" t="s">
        <v>5791</v>
      </c>
      <c r="CC7" s="197" t="s">
        <v>5791</v>
      </c>
      <c r="CD7" s="197" t="s">
        <v>5791</v>
      </c>
      <c r="CE7" s="197" t="s">
        <v>5791</v>
      </c>
      <c r="CF7" s="212" t="s">
        <v>5791</v>
      </c>
      <c r="CG7" s="303" t="s">
        <v>4425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298" t="s">
        <v>4425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298" t="s">
        <v>4421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5791</v>
      </c>
      <c r="CZ7" s="202" t="s">
        <v>5791</v>
      </c>
      <c r="DA7" s="202" t="s">
        <v>5791</v>
      </c>
      <c r="DB7" s="203" t="s">
        <v>5791</v>
      </c>
      <c r="DC7" s="201" t="s">
        <v>5791</v>
      </c>
      <c r="DD7" s="202" t="s">
        <v>5791</v>
      </c>
      <c r="DE7" s="203" t="s">
        <v>5791</v>
      </c>
      <c r="DF7" s="274" t="s">
        <v>5791</v>
      </c>
      <c r="DG7" s="310" t="s">
        <v>4422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4572</v>
      </c>
      <c r="DN7" s="310" t="s">
        <v>4435</v>
      </c>
      <c r="DO7" s="306" t="s">
        <v>4565</v>
      </c>
    </row>
    <row r="8" spans="1:119">
      <c r="A8" s="18">
        <v>3</v>
      </c>
      <c r="B8" s="349"/>
      <c r="C8" s="349"/>
      <c r="D8" s="454"/>
      <c r="E8" s="374"/>
      <c r="F8" s="349"/>
      <c r="G8" s="369"/>
      <c r="H8" s="369"/>
      <c r="I8" s="369"/>
      <c r="J8" s="286" t="s">
        <v>4398</v>
      </c>
      <c r="K8" s="301" t="s">
        <v>4383</v>
      </c>
      <c r="L8" s="310" t="s">
        <v>5791</v>
      </c>
      <c r="M8" s="301" t="s">
        <v>4507</v>
      </c>
      <c r="N8" s="310" t="s">
        <v>4700</v>
      </c>
      <c r="O8" s="18" t="s">
        <v>4506</v>
      </c>
      <c r="P8" s="310" t="s">
        <v>6317</v>
      </c>
      <c r="Q8" s="310" t="s">
        <v>4420</v>
      </c>
      <c r="R8" s="310" t="s">
        <v>6317</v>
      </c>
      <c r="S8" s="310" t="s">
        <v>5791</v>
      </c>
      <c r="T8" s="59" t="s">
        <v>4420</v>
      </c>
      <c r="U8" s="59" t="s">
        <v>5791</v>
      </c>
      <c r="V8" s="59" t="s">
        <v>4420</v>
      </c>
      <c r="W8" s="59" t="s">
        <v>5791</v>
      </c>
      <c r="X8" s="310" t="s">
        <v>4420</v>
      </c>
      <c r="Y8" s="310" t="s">
        <v>5791</v>
      </c>
      <c r="Z8" s="310" t="s">
        <v>6048</v>
      </c>
      <c r="AA8" s="18">
        <v>6</v>
      </c>
      <c r="AB8" s="224">
        <v>0</v>
      </c>
      <c r="AC8" s="18">
        <v>0</v>
      </c>
      <c r="AD8" s="301" t="s">
        <v>520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1" t="s">
        <v>498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1" t="s">
        <v>5806</v>
      </c>
      <c r="AX8" s="310" t="s">
        <v>6129</v>
      </c>
      <c r="AY8" s="21" t="s">
        <v>6129</v>
      </c>
      <c r="AZ8" s="21">
        <v>19.05</v>
      </c>
      <c r="BA8" s="310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6318</v>
      </c>
      <c r="BH8" s="310" t="s">
        <v>6204</v>
      </c>
      <c r="BI8" s="310" t="s">
        <v>6204</v>
      </c>
      <c r="BJ8" s="310">
        <v>2</v>
      </c>
      <c r="BK8" s="310">
        <v>4</v>
      </c>
      <c r="BL8" s="196" t="s">
        <v>5791</v>
      </c>
      <c r="BM8" s="197" t="s">
        <v>5791</v>
      </c>
      <c r="BN8" s="197" t="s">
        <v>5791</v>
      </c>
      <c r="BO8" s="197" t="s">
        <v>5791</v>
      </c>
      <c r="BP8" s="197" t="s">
        <v>5791</v>
      </c>
      <c r="BQ8" s="197" t="s">
        <v>5791</v>
      </c>
      <c r="BR8" s="197" t="s">
        <v>5791</v>
      </c>
      <c r="BS8" s="197" t="s">
        <v>5791</v>
      </c>
      <c r="BT8" s="196" t="s">
        <v>5791</v>
      </c>
      <c r="BU8" s="197" t="s">
        <v>5791</v>
      </c>
      <c r="BV8" s="197" t="s">
        <v>5791</v>
      </c>
      <c r="BW8" s="197" t="s">
        <v>5791</v>
      </c>
      <c r="BX8" s="197" t="s">
        <v>5791</v>
      </c>
      <c r="BY8" s="197" t="s">
        <v>5791</v>
      </c>
      <c r="BZ8" s="212" t="s">
        <v>5791</v>
      </c>
      <c r="CA8" s="197" t="s">
        <v>5791</v>
      </c>
      <c r="CB8" s="197" t="s">
        <v>5791</v>
      </c>
      <c r="CC8" s="197" t="s">
        <v>5791</v>
      </c>
      <c r="CD8" s="197" t="s">
        <v>5791</v>
      </c>
      <c r="CE8" s="197" t="s">
        <v>5791</v>
      </c>
      <c r="CF8" s="212" t="s">
        <v>5791</v>
      </c>
      <c r="CG8" s="303" t="s">
        <v>4425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298" t="s">
        <v>4425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298" t="s">
        <v>4421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5791</v>
      </c>
      <c r="CZ8" s="202" t="s">
        <v>5791</v>
      </c>
      <c r="DA8" s="202" t="s">
        <v>5791</v>
      </c>
      <c r="DB8" s="203" t="s">
        <v>5791</v>
      </c>
      <c r="DC8" s="201" t="s">
        <v>5791</v>
      </c>
      <c r="DD8" s="202" t="s">
        <v>5791</v>
      </c>
      <c r="DE8" s="203" t="s">
        <v>5791</v>
      </c>
      <c r="DF8" s="274" t="s">
        <v>5791</v>
      </c>
      <c r="DG8" s="310" t="s">
        <v>4422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4572</v>
      </c>
      <c r="DN8" s="310" t="s">
        <v>4435</v>
      </c>
      <c r="DO8" s="306" t="s">
        <v>4565</v>
      </c>
    </row>
    <row r="9" spans="1:119">
      <c r="A9" s="18">
        <v>4</v>
      </c>
      <c r="B9" s="349"/>
      <c r="C9" s="349"/>
      <c r="D9" s="454"/>
      <c r="E9" s="374"/>
      <c r="F9" s="349"/>
      <c r="G9" s="369"/>
      <c r="H9" s="369"/>
      <c r="I9" s="369"/>
      <c r="J9" s="286" t="s">
        <v>4399</v>
      </c>
      <c r="K9" s="301" t="s">
        <v>4383</v>
      </c>
      <c r="L9" s="310" t="s">
        <v>5791</v>
      </c>
      <c r="M9" s="301" t="s">
        <v>4507</v>
      </c>
      <c r="N9" s="310" t="s">
        <v>4700</v>
      </c>
      <c r="O9" s="18" t="s">
        <v>4506</v>
      </c>
      <c r="P9" s="310" t="s">
        <v>6317</v>
      </c>
      <c r="Q9" s="310" t="s">
        <v>4420</v>
      </c>
      <c r="R9" s="310" t="s">
        <v>6317</v>
      </c>
      <c r="S9" s="310" t="s">
        <v>5791</v>
      </c>
      <c r="T9" s="59" t="s">
        <v>4420</v>
      </c>
      <c r="U9" s="59" t="s">
        <v>5791</v>
      </c>
      <c r="V9" s="59" t="s">
        <v>4420</v>
      </c>
      <c r="W9" s="59" t="s">
        <v>5791</v>
      </c>
      <c r="X9" s="310" t="s">
        <v>4420</v>
      </c>
      <c r="Y9" s="310" t="s">
        <v>5791</v>
      </c>
      <c r="Z9" s="310" t="s">
        <v>6048</v>
      </c>
      <c r="AA9" s="18">
        <v>6</v>
      </c>
      <c r="AB9" s="224">
        <v>0</v>
      </c>
      <c r="AC9" s="18">
        <v>0</v>
      </c>
      <c r="AD9" s="301" t="s">
        <v>520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1" t="s">
        <v>498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1" t="s">
        <v>5806</v>
      </c>
      <c r="AX9" s="310" t="s">
        <v>6129</v>
      </c>
      <c r="AY9" s="21" t="s">
        <v>6129</v>
      </c>
      <c r="AZ9" s="21">
        <v>19.05</v>
      </c>
      <c r="BA9" s="310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6318</v>
      </c>
      <c r="BH9" s="310" t="s">
        <v>6204</v>
      </c>
      <c r="BI9" s="310" t="s">
        <v>6204</v>
      </c>
      <c r="BJ9" s="310">
        <v>2</v>
      </c>
      <c r="BK9" s="310">
        <v>4</v>
      </c>
      <c r="BL9" s="196" t="s">
        <v>5791</v>
      </c>
      <c r="BM9" s="197" t="s">
        <v>5791</v>
      </c>
      <c r="BN9" s="197" t="s">
        <v>5791</v>
      </c>
      <c r="BO9" s="197" t="s">
        <v>5791</v>
      </c>
      <c r="BP9" s="197" t="s">
        <v>5791</v>
      </c>
      <c r="BQ9" s="197" t="s">
        <v>5791</v>
      </c>
      <c r="BR9" s="197" t="s">
        <v>5791</v>
      </c>
      <c r="BS9" s="197" t="s">
        <v>5791</v>
      </c>
      <c r="BT9" s="196" t="s">
        <v>5791</v>
      </c>
      <c r="BU9" s="197" t="s">
        <v>5791</v>
      </c>
      <c r="BV9" s="197" t="s">
        <v>5791</v>
      </c>
      <c r="BW9" s="197" t="s">
        <v>5791</v>
      </c>
      <c r="BX9" s="197" t="s">
        <v>5791</v>
      </c>
      <c r="BY9" s="197" t="s">
        <v>5791</v>
      </c>
      <c r="BZ9" s="212" t="s">
        <v>5791</v>
      </c>
      <c r="CA9" s="197" t="s">
        <v>5791</v>
      </c>
      <c r="CB9" s="197" t="s">
        <v>5791</v>
      </c>
      <c r="CC9" s="197" t="s">
        <v>5791</v>
      </c>
      <c r="CD9" s="197" t="s">
        <v>5791</v>
      </c>
      <c r="CE9" s="197" t="s">
        <v>5791</v>
      </c>
      <c r="CF9" s="212" t="s">
        <v>5791</v>
      </c>
      <c r="CG9" s="303" t="s">
        <v>4425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298" t="s">
        <v>4425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298" t="s">
        <v>4421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5791</v>
      </c>
      <c r="CZ9" s="202" t="s">
        <v>5791</v>
      </c>
      <c r="DA9" s="202" t="s">
        <v>5791</v>
      </c>
      <c r="DB9" s="203" t="s">
        <v>5791</v>
      </c>
      <c r="DC9" s="201" t="s">
        <v>5791</v>
      </c>
      <c r="DD9" s="202" t="s">
        <v>5791</v>
      </c>
      <c r="DE9" s="203" t="s">
        <v>5791</v>
      </c>
      <c r="DF9" s="274" t="s">
        <v>5791</v>
      </c>
      <c r="DG9" s="310" t="s">
        <v>4422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4572</v>
      </c>
      <c r="DN9" s="310" t="s">
        <v>4435</v>
      </c>
      <c r="DO9" s="306" t="s">
        <v>4565</v>
      </c>
    </row>
    <row r="10" spans="1:119">
      <c r="A10" s="18">
        <v>5</v>
      </c>
      <c r="B10" s="349"/>
      <c r="C10" s="349"/>
      <c r="D10" s="454"/>
      <c r="E10" s="374"/>
      <c r="F10" s="349"/>
      <c r="G10" s="369"/>
      <c r="H10" s="369"/>
      <c r="I10" s="369"/>
      <c r="J10" s="286" t="s">
        <v>4400</v>
      </c>
      <c r="K10" s="301" t="s">
        <v>4383</v>
      </c>
      <c r="L10" s="310" t="s">
        <v>5791</v>
      </c>
      <c r="M10" s="301" t="s">
        <v>4507</v>
      </c>
      <c r="N10" s="310" t="s">
        <v>4700</v>
      </c>
      <c r="O10" s="18" t="s">
        <v>4506</v>
      </c>
      <c r="P10" s="310" t="s">
        <v>6317</v>
      </c>
      <c r="Q10" s="310" t="s">
        <v>4420</v>
      </c>
      <c r="R10" s="310" t="s">
        <v>6164</v>
      </c>
      <c r="S10" s="310">
        <v>6</v>
      </c>
      <c r="T10" s="59" t="s">
        <v>4420</v>
      </c>
      <c r="U10" s="59" t="s">
        <v>5791</v>
      </c>
      <c r="V10" s="59" t="s">
        <v>4420</v>
      </c>
      <c r="W10" s="59" t="s">
        <v>5791</v>
      </c>
      <c r="X10" s="310" t="s">
        <v>4420</v>
      </c>
      <c r="Y10" s="310" t="s">
        <v>5791</v>
      </c>
      <c r="Z10" s="310" t="s">
        <v>6048</v>
      </c>
      <c r="AA10" s="18">
        <v>6</v>
      </c>
      <c r="AB10" s="224">
        <v>0</v>
      </c>
      <c r="AC10" s="18">
        <v>0</v>
      </c>
      <c r="AD10" s="301" t="s">
        <v>520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1" t="s">
        <v>498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1" t="s">
        <v>5806</v>
      </c>
      <c r="AX10" s="310" t="s">
        <v>6129</v>
      </c>
      <c r="AY10" s="21" t="s">
        <v>6129</v>
      </c>
      <c r="AZ10" s="21">
        <v>19.05</v>
      </c>
      <c r="BA10" s="310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6318</v>
      </c>
      <c r="BH10" s="310" t="s">
        <v>6204</v>
      </c>
      <c r="BI10" s="310" t="s">
        <v>6204</v>
      </c>
      <c r="BJ10" s="310">
        <v>2</v>
      </c>
      <c r="BK10" s="310">
        <v>4</v>
      </c>
      <c r="BL10" s="196" t="s">
        <v>5791</v>
      </c>
      <c r="BM10" s="197" t="s">
        <v>5791</v>
      </c>
      <c r="BN10" s="197" t="s">
        <v>5791</v>
      </c>
      <c r="BO10" s="197" t="s">
        <v>5791</v>
      </c>
      <c r="BP10" s="197" t="s">
        <v>5791</v>
      </c>
      <c r="BQ10" s="197" t="s">
        <v>5791</v>
      </c>
      <c r="BR10" s="197" t="s">
        <v>5791</v>
      </c>
      <c r="BS10" s="197" t="s">
        <v>5791</v>
      </c>
      <c r="BT10" s="196" t="s">
        <v>5791</v>
      </c>
      <c r="BU10" s="197" t="s">
        <v>5791</v>
      </c>
      <c r="BV10" s="197" t="s">
        <v>5791</v>
      </c>
      <c r="BW10" s="197" t="s">
        <v>5791</v>
      </c>
      <c r="BX10" s="197" t="s">
        <v>5791</v>
      </c>
      <c r="BY10" s="197" t="s">
        <v>5791</v>
      </c>
      <c r="BZ10" s="212" t="s">
        <v>5791</v>
      </c>
      <c r="CA10" s="197" t="s">
        <v>5791</v>
      </c>
      <c r="CB10" s="197" t="s">
        <v>5791</v>
      </c>
      <c r="CC10" s="197" t="s">
        <v>5791</v>
      </c>
      <c r="CD10" s="197" t="s">
        <v>5791</v>
      </c>
      <c r="CE10" s="197" t="s">
        <v>5791</v>
      </c>
      <c r="CF10" s="212" t="s">
        <v>5791</v>
      </c>
      <c r="CG10" s="303" t="s">
        <v>4425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298" t="s">
        <v>4425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298" t="s">
        <v>4421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5791</v>
      </c>
      <c r="CZ10" s="202" t="s">
        <v>5791</v>
      </c>
      <c r="DA10" s="202" t="s">
        <v>5791</v>
      </c>
      <c r="DB10" s="203" t="s">
        <v>5791</v>
      </c>
      <c r="DC10" s="201" t="s">
        <v>5791</v>
      </c>
      <c r="DD10" s="202" t="s">
        <v>5791</v>
      </c>
      <c r="DE10" s="203" t="s">
        <v>5791</v>
      </c>
      <c r="DF10" s="274" t="s">
        <v>5791</v>
      </c>
      <c r="DG10" s="310" t="s">
        <v>4422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4759</v>
      </c>
      <c r="DN10" s="310" t="s">
        <v>4435</v>
      </c>
      <c r="DO10" s="306" t="s">
        <v>4565</v>
      </c>
    </row>
    <row r="11" spans="1:119">
      <c r="A11" s="18">
        <v>6</v>
      </c>
      <c r="B11" s="349"/>
      <c r="C11" s="349"/>
      <c r="D11" s="454"/>
      <c r="E11" s="374"/>
      <c r="F11" s="349"/>
      <c r="G11" s="369"/>
      <c r="H11" s="369"/>
      <c r="I11" s="369"/>
      <c r="J11" s="286" t="s">
        <v>4401</v>
      </c>
      <c r="K11" s="301" t="s">
        <v>4383</v>
      </c>
      <c r="L11" s="310" t="s">
        <v>5791</v>
      </c>
      <c r="M11" s="301" t="s">
        <v>4507</v>
      </c>
      <c r="N11" s="310" t="s">
        <v>4700</v>
      </c>
      <c r="O11" s="18" t="s">
        <v>4506</v>
      </c>
      <c r="P11" s="310" t="s">
        <v>6317</v>
      </c>
      <c r="Q11" s="310" t="s">
        <v>4420</v>
      </c>
      <c r="R11" s="310" t="s">
        <v>6164</v>
      </c>
      <c r="S11" s="310">
        <v>6</v>
      </c>
      <c r="T11" s="59" t="s">
        <v>4420</v>
      </c>
      <c r="U11" s="59" t="s">
        <v>5791</v>
      </c>
      <c r="V11" s="59" t="s">
        <v>4420</v>
      </c>
      <c r="W11" s="59" t="s">
        <v>5791</v>
      </c>
      <c r="X11" s="310" t="s">
        <v>4420</v>
      </c>
      <c r="Y11" s="310" t="s">
        <v>5791</v>
      </c>
      <c r="Z11" s="310" t="s">
        <v>6048</v>
      </c>
      <c r="AA11" s="18">
        <v>6</v>
      </c>
      <c r="AB11" s="224">
        <v>0</v>
      </c>
      <c r="AC11" s="18">
        <v>0</v>
      </c>
      <c r="AD11" s="301" t="s">
        <v>520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1" t="s">
        <v>498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1" t="s">
        <v>5806</v>
      </c>
      <c r="AX11" s="310" t="s">
        <v>6129</v>
      </c>
      <c r="AY11" s="21" t="s">
        <v>6129</v>
      </c>
      <c r="AZ11" s="21">
        <v>19.05</v>
      </c>
      <c r="BA11" s="310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6318</v>
      </c>
      <c r="BH11" s="310" t="s">
        <v>6204</v>
      </c>
      <c r="BI11" s="310" t="s">
        <v>6204</v>
      </c>
      <c r="BJ11" s="310">
        <v>2</v>
      </c>
      <c r="BK11" s="310">
        <v>4</v>
      </c>
      <c r="BL11" s="196" t="s">
        <v>5791</v>
      </c>
      <c r="BM11" s="197" t="s">
        <v>5791</v>
      </c>
      <c r="BN11" s="197" t="s">
        <v>5791</v>
      </c>
      <c r="BO11" s="197" t="s">
        <v>5791</v>
      </c>
      <c r="BP11" s="197" t="s">
        <v>5791</v>
      </c>
      <c r="BQ11" s="197" t="s">
        <v>5791</v>
      </c>
      <c r="BR11" s="197" t="s">
        <v>5791</v>
      </c>
      <c r="BS11" s="197" t="s">
        <v>5791</v>
      </c>
      <c r="BT11" s="196" t="s">
        <v>5791</v>
      </c>
      <c r="BU11" s="197" t="s">
        <v>5791</v>
      </c>
      <c r="BV11" s="197" t="s">
        <v>5791</v>
      </c>
      <c r="BW11" s="197" t="s">
        <v>5791</v>
      </c>
      <c r="BX11" s="197" t="s">
        <v>5791</v>
      </c>
      <c r="BY11" s="197" t="s">
        <v>5791</v>
      </c>
      <c r="BZ11" s="212" t="s">
        <v>5791</v>
      </c>
      <c r="CA11" s="197" t="s">
        <v>5791</v>
      </c>
      <c r="CB11" s="197" t="s">
        <v>5791</v>
      </c>
      <c r="CC11" s="197" t="s">
        <v>5791</v>
      </c>
      <c r="CD11" s="197" t="s">
        <v>5791</v>
      </c>
      <c r="CE11" s="197" t="s">
        <v>5791</v>
      </c>
      <c r="CF11" s="212" t="s">
        <v>5791</v>
      </c>
      <c r="CG11" s="303" t="s">
        <v>4425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298" t="s">
        <v>4425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298" t="s">
        <v>4421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5791</v>
      </c>
      <c r="CZ11" s="202" t="s">
        <v>5791</v>
      </c>
      <c r="DA11" s="202" t="s">
        <v>5791</v>
      </c>
      <c r="DB11" s="203" t="s">
        <v>5791</v>
      </c>
      <c r="DC11" s="201" t="s">
        <v>5791</v>
      </c>
      <c r="DD11" s="202" t="s">
        <v>5791</v>
      </c>
      <c r="DE11" s="203" t="s">
        <v>5791</v>
      </c>
      <c r="DF11" s="274" t="s">
        <v>5791</v>
      </c>
      <c r="DG11" s="310" t="s">
        <v>4422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4779</v>
      </c>
      <c r="DN11" s="310" t="s">
        <v>4435</v>
      </c>
      <c r="DO11" s="306" t="s">
        <v>4565</v>
      </c>
    </row>
    <row r="12" spans="1:119">
      <c r="A12" s="18">
        <v>7</v>
      </c>
      <c r="B12" s="349"/>
      <c r="C12" s="349"/>
      <c r="D12" s="454"/>
      <c r="E12" s="374"/>
      <c r="F12" s="349"/>
      <c r="G12" s="369"/>
      <c r="H12" s="369"/>
      <c r="I12" s="369"/>
      <c r="J12" s="286" t="s">
        <v>4402</v>
      </c>
      <c r="K12" s="301" t="s">
        <v>4383</v>
      </c>
      <c r="L12" s="310" t="s">
        <v>5791</v>
      </c>
      <c r="M12" s="301" t="s">
        <v>4507</v>
      </c>
      <c r="N12" s="310" t="s">
        <v>4700</v>
      </c>
      <c r="O12" s="18" t="s">
        <v>4506</v>
      </c>
      <c r="P12" s="310" t="s">
        <v>6317</v>
      </c>
      <c r="Q12" s="310" t="s">
        <v>4420</v>
      </c>
      <c r="R12" s="310" t="s">
        <v>6164</v>
      </c>
      <c r="S12" s="310">
        <v>6</v>
      </c>
      <c r="T12" s="59" t="s">
        <v>4420</v>
      </c>
      <c r="U12" s="59" t="s">
        <v>5791</v>
      </c>
      <c r="V12" s="59" t="s">
        <v>4420</v>
      </c>
      <c r="W12" s="59" t="s">
        <v>5791</v>
      </c>
      <c r="X12" s="310" t="s">
        <v>4420</v>
      </c>
      <c r="Y12" s="310" t="s">
        <v>5791</v>
      </c>
      <c r="Z12" s="310" t="s">
        <v>6048</v>
      </c>
      <c r="AA12" s="18">
        <v>6</v>
      </c>
      <c r="AB12" s="224">
        <v>0</v>
      </c>
      <c r="AC12" s="18">
        <v>0</v>
      </c>
      <c r="AD12" s="301" t="s">
        <v>520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1" t="s">
        <v>498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1" t="s">
        <v>5806</v>
      </c>
      <c r="AX12" s="310" t="s">
        <v>6129</v>
      </c>
      <c r="AY12" s="21" t="s">
        <v>6129</v>
      </c>
      <c r="AZ12" s="21">
        <v>19.05</v>
      </c>
      <c r="BA12" s="310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6318</v>
      </c>
      <c r="BH12" s="310" t="s">
        <v>6204</v>
      </c>
      <c r="BI12" s="310" t="s">
        <v>6204</v>
      </c>
      <c r="BJ12" s="310">
        <v>2</v>
      </c>
      <c r="BK12" s="310">
        <v>4</v>
      </c>
      <c r="BL12" s="196" t="s">
        <v>5791</v>
      </c>
      <c r="BM12" s="197" t="s">
        <v>5791</v>
      </c>
      <c r="BN12" s="197" t="s">
        <v>5791</v>
      </c>
      <c r="BO12" s="197" t="s">
        <v>5791</v>
      </c>
      <c r="BP12" s="197" t="s">
        <v>5791</v>
      </c>
      <c r="BQ12" s="197" t="s">
        <v>5791</v>
      </c>
      <c r="BR12" s="197" t="s">
        <v>5791</v>
      </c>
      <c r="BS12" s="197" t="s">
        <v>5791</v>
      </c>
      <c r="BT12" s="196" t="s">
        <v>5791</v>
      </c>
      <c r="BU12" s="197" t="s">
        <v>5791</v>
      </c>
      <c r="BV12" s="197" t="s">
        <v>5791</v>
      </c>
      <c r="BW12" s="197" t="s">
        <v>5791</v>
      </c>
      <c r="BX12" s="197" t="s">
        <v>5791</v>
      </c>
      <c r="BY12" s="197" t="s">
        <v>5791</v>
      </c>
      <c r="BZ12" s="212" t="s">
        <v>5791</v>
      </c>
      <c r="CA12" s="197" t="s">
        <v>5791</v>
      </c>
      <c r="CB12" s="197" t="s">
        <v>5791</v>
      </c>
      <c r="CC12" s="197" t="s">
        <v>5791</v>
      </c>
      <c r="CD12" s="197" t="s">
        <v>5791</v>
      </c>
      <c r="CE12" s="197" t="s">
        <v>5791</v>
      </c>
      <c r="CF12" s="212" t="s">
        <v>5791</v>
      </c>
      <c r="CG12" s="303" t="s">
        <v>4425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298" t="s">
        <v>4425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298" t="s">
        <v>4421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5791</v>
      </c>
      <c r="CZ12" s="202" t="s">
        <v>5791</v>
      </c>
      <c r="DA12" s="202" t="s">
        <v>5791</v>
      </c>
      <c r="DB12" s="203" t="s">
        <v>5791</v>
      </c>
      <c r="DC12" s="201" t="s">
        <v>5791</v>
      </c>
      <c r="DD12" s="202" t="s">
        <v>5791</v>
      </c>
      <c r="DE12" s="203" t="s">
        <v>5791</v>
      </c>
      <c r="DF12" s="274" t="s">
        <v>5791</v>
      </c>
      <c r="DG12" s="310" t="s">
        <v>4422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4769</v>
      </c>
      <c r="DN12" s="310" t="s">
        <v>4435</v>
      </c>
      <c r="DO12" s="306" t="s">
        <v>4565</v>
      </c>
    </row>
    <row r="13" spans="1:119">
      <c r="A13" s="18">
        <v>8</v>
      </c>
      <c r="B13" s="349"/>
      <c r="C13" s="349"/>
      <c r="D13" s="454"/>
      <c r="E13" s="374"/>
      <c r="F13" s="349"/>
      <c r="G13" s="369"/>
      <c r="H13" s="369"/>
      <c r="I13" s="369"/>
      <c r="J13" s="286" t="s">
        <v>4403</v>
      </c>
      <c r="K13" s="301" t="s">
        <v>4383</v>
      </c>
      <c r="L13" s="310" t="s">
        <v>5791</v>
      </c>
      <c r="M13" s="301" t="s">
        <v>4507</v>
      </c>
      <c r="N13" s="310" t="s">
        <v>4700</v>
      </c>
      <c r="O13" s="18" t="s">
        <v>4506</v>
      </c>
      <c r="P13" s="310" t="s">
        <v>6317</v>
      </c>
      <c r="Q13" s="310" t="s">
        <v>4420</v>
      </c>
      <c r="R13" s="310" t="s">
        <v>6164</v>
      </c>
      <c r="S13" s="310">
        <v>10</v>
      </c>
      <c r="T13" s="59" t="s">
        <v>4420</v>
      </c>
      <c r="U13" s="59" t="s">
        <v>5791</v>
      </c>
      <c r="V13" s="59" t="s">
        <v>4420</v>
      </c>
      <c r="W13" s="59" t="s">
        <v>5791</v>
      </c>
      <c r="X13" s="310" t="s">
        <v>4420</v>
      </c>
      <c r="Y13" s="310" t="s">
        <v>5791</v>
      </c>
      <c r="Z13" s="310" t="s">
        <v>6048</v>
      </c>
      <c r="AA13" s="18">
        <v>6</v>
      </c>
      <c r="AB13" s="224">
        <v>0</v>
      </c>
      <c r="AC13" s="18">
        <v>0</v>
      </c>
      <c r="AD13" s="301" t="s">
        <v>520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1" t="s">
        <v>498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1" t="s">
        <v>5806</v>
      </c>
      <c r="AX13" s="310" t="s">
        <v>6129</v>
      </c>
      <c r="AY13" s="21" t="s">
        <v>6129</v>
      </c>
      <c r="AZ13" s="21">
        <v>19.05</v>
      </c>
      <c r="BA13" s="310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6318</v>
      </c>
      <c r="BH13" s="310" t="s">
        <v>6204</v>
      </c>
      <c r="BI13" s="310" t="s">
        <v>6204</v>
      </c>
      <c r="BJ13" s="310">
        <v>2</v>
      </c>
      <c r="BK13" s="310">
        <v>4</v>
      </c>
      <c r="BL13" s="196" t="s">
        <v>5791</v>
      </c>
      <c r="BM13" s="197" t="s">
        <v>5791</v>
      </c>
      <c r="BN13" s="197" t="s">
        <v>5791</v>
      </c>
      <c r="BO13" s="197" t="s">
        <v>5791</v>
      </c>
      <c r="BP13" s="197" t="s">
        <v>5791</v>
      </c>
      <c r="BQ13" s="197" t="s">
        <v>5791</v>
      </c>
      <c r="BR13" s="197" t="s">
        <v>5791</v>
      </c>
      <c r="BS13" s="197" t="s">
        <v>5791</v>
      </c>
      <c r="BT13" s="196" t="s">
        <v>5791</v>
      </c>
      <c r="BU13" s="197" t="s">
        <v>5791</v>
      </c>
      <c r="BV13" s="197" t="s">
        <v>5791</v>
      </c>
      <c r="BW13" s="197" t="s">
        <v>5791</v>
      </c>
      <c r="BX13" s="197" t="s">
        <v>5791</v>
      </c>
      <c r="BY13" s="197" t="s">
        <v>5791</v>
      </c>
      <c r="BZ13" s="212" t="s">
        <v>5791</v>
      </c>
      <c r="CA13" s="197" t="s">
        <v>5791</v>
      </c>
      <c r="CB13" s="197" t="s">
        <v>5791</v>
      </c>
      <c r="CC13" s="197" t="s">
        <v>5791</v>
      </c>
      <c r="CD13" s="197" t="s">
        <v>5791</v>
      </c>
      <c r="CE13" s="197" t="s">
        <v>5791</v>
      </c>
      <c r="CF13" s="212" t="s">
        <v>5791</v>
      </c>
      <c r="CG13" s="303" t="s">
        <v>4425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298" t="s">
        <v>4425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298" t="s">
        <v>4421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5791</v>
      </c>
      <c r="CZ13" s="202" t="s">
        <v>5791</v>
      </c>
      <c r="DA13" s="202" t="s">
        <v>5791</v>
      </c>
      <c r="DB13" s="203" t="s">
        <v>5791</v>
      </c>
      <c r="DC13" s="201" t="s">
        <v>5791</v>
      </c>
      <c r="DD13" s="202" t="s">
        <v>5791</v>
      </c>
      <c r="DE13" s="203" t="s">
        <v>5791</v>
      </c>
      <c r="DF13" s="274" t="s">
        <v>5791</v>
      </c>
      <c r="DG13" s="310" t="s">
        <v>4422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4769</v>
      </c>
      <c r="DN13" s="310" t="s">
        <v>4435</v>
      </c>
      <c r="DO13" s="306" t="s">
        <v>4565</v>
      </c>
    </row>
    <row r="14" spans="1:119">
      <c r="A14" s="18">
        <v>9</v>
      </c>
      <c r="B14" s="349"/>
      <c r="C14" s="349"/>
      <c r="D14" s="454"/>
      <c r="E14" s="374"/>
      <c r="F14" s="349"/>
      <c r="G14" s="369"/>
      <c r="H14" s="369"/>
      <c r="I14" s="369"/>
      <c r="J14" s="286" t="s">
        <v>4404</v>
      </c>
      <c r="K14" s="301" t="s">
        <v>4383</v>
      </c>
      <c r="L14" s="310" t="s">
        <v>5791</v>
      </c>
      <c r="M14" s="301" t="s">
        <v>4507</v>
      </c>
      <c r="N14" s="310" t="s">
        <v>4700</v>
      </c>
      <c r="O14" s="18" t="s">
        <v>4506</v>
      </c>
      <c r="P14" s="310" t="s">
        <v>6317</v>
      </c>
      <c r="Q14" s="310" t="s">
        <v>4420</v>
      </c>
      <c r="R14" s="310" t="s">
        <v>6317</v>
      </c>
      <c r="S14" s="310" t="s">
        <v>5791</v>
      </c>
      <c r="T14" s="59" t="s">
        <v>4420</v>
      </c>
      <c r="U14" s="59" t="s">
        <v>5791</v>
      </c>
      <c r="V14" s="59" t="s">
        <v>4420</v>
      </c>
      <c r="W14" s="59" t="s">
        <v>5791</v>
      </c>
      <c r="X14" s="310" t="s">
        <v>4420</v>
      </c>
      <c r="Y14" s="310" t="s">
        <v>5791</v>
      </c>
      <c r="Z14" s="310" t="s">
        <v>6048</v>
      </c>
      <c r="AA14" s="18">
        <v>6</v>
      </c>
      <c r="AB14" s="224">
        <v>0</v>
      </c>
      <c r="AC14" s="18">
        <v>0</v>
      </c>
      <c r="AD14" s="301" t="s">
        <v>520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1" t="s">
        <v>498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1" t="s">
        <v>5806</v>
      </c>
      <c r="AX14" s="310" t="s">
        <v>6129</v>
      </c>
      <c r="AY14" s="21" t="s">
        <v>6129</v>
      </c>
      <c r="AZ14" s="21">
        <v>19.05</v>
      </c>
      <c r="BA14" s="310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6318</v>
      </c>
      <c r="BH14" s="310" t="s">
        <v>6204</v>
      </c>
      <c r="BI14" s="310" t="s">
        <v>6204</v>
      </c>
      <c r="BJ14" s="310">
        <v>2</v>
      </c>
      <c r="BK14" s="310">
        <v>4</v>
      </c>
      <c r="BL14" s="196" t="s">
        <v>5791</v>
      </c>
      <c r="BM14" s="197" t="s">
        <v>5791</v>
      </c>
      <c r="BN14" s="197" t="s">
        <v>5791</v>
      </c>
      <c r="BO14" s="197" t="s">
        <v>5791</v>
      </c>
      <c r="BP14" s="197" t="s">
        <v>5791</v>
      </c>
      <c r="BQ14" s="197" t="s">
        <v>5791</v>
      </c>
      <c r="BR14" s="197" t="s">
        <v>5791</v>
      </c>
      <c r="BS14" s="197" t="s">
        <v>5791</v>
      </c>
      <c r="BT14" s="196" t="s">
        <v>5791</v>
      </c>
      <c r="BU14" s="197" t="s">
        <v>5791</v>
      </c>
      <c r="BV14" s="197" t="s">
        <v>5791</v>
      </c>
      <c r="BW14" s="197" t="s">
        <v>5791</v>
      </c>
      <c r="BX14" s="197" t="s">
        <v>5791</v>
      </c>
      <c r="BY14" s="197" t="s">
        <v>5791</v>
      </c>
      <c r="BZ14" s="212" t="s">
        <v>5791</v>
      </c>
      <c r="CA14" s="197" t="s">
        <v>5791</v>
      </c>
      <c r="CB14" s="197" t="s">
        <v>5791</v>
      </c>
      <c r="CC14" s="197" t="s">
        <v>5791</v>
      </c>
      <c r="CD14" s="197" t="s">
        <v>5791</v>
      </c>
      <c r="CE14" s="197" t="s">
        <v>5791</v>
      </c>
      <c r="CF14" s="212" t="s">
        <v>5791</v>
      </c>
      <c r="CG14" s="303" t="s">
        <v>4425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298" t="s">
        <v>4425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298" t="s">
        <v>4421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5791</v>
      </c>
      <c r="CZ14" s="202" t="s">
        <v>5791</v>
      </c>
      <c r="DA14" s="202" t="s">
        <v>5791</v>
      </c>
      <c r="DB14" s="203" t="s">
        <v>5791</v>
      </c>
      <c r="DC14" s="201" t="s">
        <v>5791</v>
      </c>
      <c r="DD14" s="202" t="s">
        <v>5791</v>
      </c>
      <c r="DE14" s="203" t="s">
        <v>5791</v>
      </c>
      <c r="DF14" s="274" t="s">
        <v>5791</v>
      </c>
      <c r="DG14" s="310" t="s">
        <v>4422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4780</v>
      </c>
      <c r="DN14" s="310" t="s">
        <v>4435</v>
      </c>
      <c r="DO14" s="306" t="s">
        <v>4565</v>
      </c>
    </row>
    <row r="15" spans="1:119">
      <c r="A15" s="18">
        <v>10</v>
      </c>
      <c r="B15" s="349"/>
      <c r="C15" s="349"/>
      <c r="D15" s="454"/>
      <c r="E15" s="374"/>
      <c r="F15" s="349"/>
      <c r="G15" s="369"/>
      <c r="H15" s="369"/>
      <c r="I15" s="369"/>
      <c r="J15" s="286" t="s">
        <v>4405</v>
      </c>
      <c r="K15" s="301" t="s">
        <v>4383</v>
      </c>
      <c r="L15" s="310" t="s">
        <v>5791</v>
      </c>
      <c r="M15" s="301" t="s">
        <v>4507</v>
      </c>
      <c r="N15" s="310" t="s">
        <v>4700</v>
      </c>
      <c r="O15" s="18" t="s">
        <v>4506</v>
      </c>
      <c r="P15" s="310" t="s">
        <v>6317</v>
      </c>
      <c r="Q15" s="310" t="s">
        <v>4420</v>
      </c>
      <c r="R15" s="310" t="s">
        <v>6164</v>
      </c>
      <c r="S15" s="310">
        <v>10</v>
      </c>
      <c r="T15" s="59" t="s">
        <v>4420</v>
      </c>
      <c r="U15" s="59" t="s">
        <v>5791</v>
      </c>
      <c r="V15" s="59" t="s">
        <v>4420</v>
      </c>
      <c r="W15" s="59" t="s">
        <v>5791</v>
      </c>
      <c r="X15" s="310" t="s">
        <v>4420</v>
      </c>
      <c r="Y15" s="310" t="s">
        <v>5791</v>
      </c>
      <c r="Z15" s="310" t="s">
        <v>6048</v>
      </c>
      <c r="AA15" s="18">
        <v>6</v>
      </c>
      <c r="AB15" s="224">
        <v>0</v>
      </c>
      <c r="AC15" s="18">
        <v>0</v>
      </c>
      <c r="AD15" s="301" t="s">
        <v>520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1" t="s">
        <v>498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1" t="s">
        <v>5806</v>
      </c>
      <c r="AX15" s="310" t="s">
        <v>6129</v>
      </c>
      <c r="AY15" s="21" t="s">
        <v>6129</v>
      </c>
      <c r="AZ15" s="21">
        <v>19.05</v>
      </c>
      <c r="BA15" s="310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6318</v>
      </c>
      <c r="BH15" s="310" t="s">
        <v>6204</v>
      </c>
      <c r="BI15" s="310" t="s">
        <v>6204</v>
      </c>
      <c r="BJ15" s="310">
        <v>2</v>
      </c>
      <c r="BK15" s="310">
        <v>4</v>
      </c>
      <c r="BL15" s="196" t="s">
        <v>5791</v>
      </c>
      <c r="BM15" s="197" t="s">
        <v>5791</v>
      </c>
      <c r="BN15" s="197" t="s">
        <v>5791</v>
      </c>
      <c r="BO15" s="197" t="s">
        <v>5791</v>
      </c>
      <c r="BP15" s="197" t="s">
        <v>5791</v>
      </c>
      <c r="BQ15" s="197" t="s">
        <v>5791</v>
      </c>
      <c r="BR15" s="197" t="s">
        <v>5791</v>
      </c>
      <c r="BS15" s="197" t="s">
        <v>5791</v>
      </c>
      <c r="BT15" s="196" t="s">
        <v>5791</v>
      </c>
      <c r="BU15" s="197" t="s">
        <v>5791</v>
      </c>
      <c r="BV15" s="197" t="s">
        <v>5791</v>
      </c>
      <c r="BW15" s="197" t="s">
        <v>5791</v>
      </c>
      <c r="BX15" s="197" t="s">
        <v>5791</v>
      </c>
      <c r="BY15" s="197" t="s">
        <v>5791</v>
      </c>
      <c r="BZ15" s="212" t="s">
        <v>5791</v>
      </c>
      <c r="CA15" s="197" t="s">
        <v>5791</v>
      </c>
      <c r="CB15" s="197" t="s">
        <v>5791</v>
      </c>
      <c r="CC15" s="197" t="s">
        <v>5791</v>
      </c>
      <c r="CD15" s="197" t="s">
        <v>5791</v>
      </c>
      <c r="CE15" s="197" t="s">
        <v>5791</v>
      </c>
      <c r="CF15" s="212" t="s">
        <v>5791</v>
      </c>
      <c r="CG15" s="303" t="s">
        <v>4425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298" t="s">
        <v>4425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298" t="s">
        <v>4421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5791</v>
      </c>
      <c r="CZ15" s="202" t="s">
        <v>5791</v>
      </c>
      <c r="DA15" s="202" t="s">
        <v>5791</v>
      </c>
      <c r="DB15" s="203" t="s">
        <v>5791</v>
      </c>
      <c r="DC15" s="201" t="s">
        <v>5791</v>
      </c>
      <c r="DD15" s="202" t="s">
        <v>5791</v>
      </c>
      <c r="DE15" s="203" t="s">
        <v>5791</v>
      </c>
      <c r="DF15" s="274" t="s">
        <v>5791</v>
      </c>
      <c r="DG15" s="310" t="s">
        <v>4422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15</v>
      </c>
      <c r="DN15" s="310" t="s">
        <v>4435</v>
      </c>
      <c r="DO15" s="306" t="s">
        <v>4565</v>
      </c>
    </row>
    <row r="16" spans="1:119">
      <c r="A16" s="18">
        <v>11</v>
      </c>
      <c r="B16" s="349"/>
      <c r="C16" s="349"/>
      <c r="D16" s="454"/>
      <c r="E16" s="374"/>
      <c r="F16" s="349"/>
      <c r="G16" s="369"/>
      <c r="H16" s="369"/>
      <c r="I16" s="369"/>
      <c r="J16" s="286" t="s">
        <v>4406</v>
      </c>
      <c r="K16" s="301" t="s">
        <v>4383</v>
      </c>
      <c r="L16" s="310" t="s">
        <v>5791</v>
      </c>
      <c r="M16" s="301" t="s">
        <v>4507</v>
      </c>
      <c r="N16" s="310" t="s">
        <v>4700</v>
      </c>
      <c r="O16" s="18" t="s">
        <v>4506</v>
      </c>
      <c r="P16" s="310" t="s">
        <v>6317</v>
      </c>
      <c r="Q16" s="310" t="s">
        <v>4420</v>
      </c>
      <c r="R16" s="310" t="s">
        <v>6317</v>
      </c>
      <c r="S16" s="310" t="s">
        <v>5791</v>
      </c>
      <c r="T16" s="59" t="s">
        <v>4420</v>
      </c>
      <c r="U16" s="59" t="s">
        <v>5791</v>
      </c>
      <c r="V16" s="59" t="s">
        <v>4420</v>
      </c>
      <c r="W16" s="59" t="s">
        <v>5791</v>
      </c>
      <c r="X16" s="310" t="s">
        <v>4420</v>
      </c>
      <c r="Y16" s="310" t="s">
        <v>5791</v>
      </c>
      <c r="Z16" s="310" t="s">
        <v>6048</v>
      </c>
      <c r="AA16" s="18">
        <v>6</v>
      </c>
      <c r="AB16" s="224">
        <v>0</v>
      </c>
      <c r="AC16" s="18">
        <v>0</v>
      </c>
      <c r="AD16" s="301" t="s">
        <v>514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1" t="s">
        <v>462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1" t="s">
        <v>5806</v>
      </c>
      <c r="AX16" s="310" t="s">
        <v>6129</v>
      </c>
      <c r="AY16" s="21" t="s">
        <v>6129</v>
      </c>
      <c r="AZ16" s="21">
        <v>19.05</v>
      </c>
      <c r="BA16" s="310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6318</v>
      </c>
      <c r="BH16" s="310" t="s">
        <v>6204</v>
      </c>
      <c r="BI16" s="310" t="s">
        <v>6204</v>
      </c>
      <c r="BJ16" s="310">
        <v>2</v>
      </c>
      <c r="BK16" s="310">
        <v>4</v>
      </c>
      <c r="BL16" s="196" t="s">
        <v>5791</v>
      </c>
      <c r="BM16" s="197" t="s">
        <v>5791</v>
      </c>
      <c r="BN16" s="197" t="s">
        <v>5791</v>
      </c>
      <c r="BO16" s="197" t="s">
        <v>5791</v>
      </c>
      <c r="BP16" s="197" t="s">
        <v>5791</v>
      </c>
      <c r="BQ16" s="197" t="s">
        <v>5791</v>
      </c>
      <c r="BR16" s="197" t="s">
        <v>5791</v>
      </c>
      <c r="BS16" s="197" t="s">
        <v>5791</v>
      </c>
      <c r="BT16" s="196" t="s">
        <v>5791</v>
      </c>
      <c r="BU16" s="197" t="s">
        <v>5791</v>
      </c>
      <c r="BV16" s="197" t="s">
        <v>5791</v>
      </c>
      <c r="BW16" s="197" t="s">
        <v>5791</v>
      </c>
      <c r="BX16" s="197" t="s">
        <v>5791</v>
      </c>
      <c r="BY16" s="197" t="s">
        <v>5791</v>
      </c>
      <c r="BZ16" s="212" t="s">
        <v>5791</v>
      </c>
      <c r="CA16" s="197" t="s">
        <v>5791</v>
      </c>
      <c r="CB16" s="197" t="s">
        <v>5791</v>
      </c>
      <c r="CC16" s="197" t="s">
        <v>5791</v>
      </c>
      <c r="CD16" s="197" t="s">
        <v>5791</v>
      </c>
      <c r="CE16" s="197" t="s">
        <v>5791</v>
      </c>
      <c r="CF16" s="212" t="s">
        <v>5791</v>
      </c>
      <c r="CG16" s="303" t="s">
        <v>4425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298" t="s">
        <v>4425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298" t="s">
        <v>4421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5791</v>
      </c>
      <c r="CZ16" s="202" t="s">
        <v>5791</v>
      </c>
      <c r="DA16" s="202" t="s">
        <v>5791</v>
      </c>
      <c r="DB16" s="203" t="s">
        <v>5791</v>
      </c>
      <c r="DC16" s="201" t="s">
        <v>5791</v>
      </c>
      <c r="DD16" s="202" t="s">
        <v>5791</v>
      </c>
      <c r="DE16" s="203" t="s">
        <v>5791</v>
      </c>
      <c r="DF16" s="274" t="s">
        <v>5791</v>
      </c>
      <c r="DG16" s="310" t="s">
        <v>4422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4769</v>
      </c>
      <c r="DN16" s="310" t="s">
        <v>4435</v>
      </c>
      <c r="DO16" s="306" t="s">
        <v>4565</v>
      </c>
    </row>
    <row r="17" spans="1:119">
      <c r="A17" s="18">
        <v>12</v>
      </c>
      <c r="B17" s="349"/>
      <c r="C17" s="349"/>
      <c r="D17" s="454"/>
      <c r="E17" s="374"/>
      <c r="F17" s="349"/>
      <c r="G17" s="369"/>
      <c r="H17" s="369"/>
      <c r="I17" s="369"/>
      <c r="J17" s="286" t="s">
        <v>4407</v>
      </c>
      <c r="K17" s="301" t="s">
        <v>4383</v>
      </c>
      <c r="L17" s="310" t="s">
        <v>5791</v>
      </c>
      <c r="M17" s="301" t="s">
        <v>4507</v>
      </c>
      <c r="N17" s="310" t="s">
        <v>4700</v>
      </c>
      <c r="O17" s="18" t="s">
        <v>4506</v>
      </c>
      <c r="P17" s="310" t="s">
        <v>6317</v>
      </c>
      <c r="Q17" s="310" t="s">
        <v>4420</v>
      </c>
      <c r="R17" s="310" t="s">
        <v>6317</v>
      </c>
      <c r="S17" s="310" t="s">
        <v>5791</v>
      </c>
      <c r="T17" s="59" t="s">
        <v>4420</v>
      </c>
      <c r="U17" s="59" t="s">
        <v>5791</v>
      </c>
      <c r="V17" s="59" t="s">
        <v>4420</v>
      </c>
      <c r="W17" s="59" t="s">
        <v>5791</v>
      </c>
      <c r="X17" s="310" t="s">
        <v>4420</v>
      </c>
      <c r="Y17" s="310" t="s">
        <v>5791</v>
      </c>
      <c r="Z17" s="310" t="s">
        <v>6048</v>
      </c>
      <c r="AA17" s="18">
        <v>6</v>
      </c>
      <c r="AB17" s="224">
        <v>0</v>
      </c>
      <c r="AC17" s="18">
        <v>0</v>
      </c>
      <c r="AD17" s="301" t="s">
        <v>514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1" t="s">
        <v>462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1" t="s">
        <v>5806</v>
      </c>
      <c r="AX17" s="310" t="s">
        <v>6129</v>
      </c>
      <c r="AY17" s="21" t="s">
        <v>6129</v>
      </c>
      <c r="AZ17" s="21">
        <v>19.05</v>
      </c>
      <c r="BA17" s="310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6318</v>
      </c>
      <c r="BH17" s="310" t="s">
        <v>6204</v>
      </c>
      <c r="BI17" s="310" t="s">
        <v>6204</v>
      </c>
      <c r="BJ17" s="310">
        <v>2</v>
      </c>
      <c r="BK17" s="310">
        <v>4</v>
      </c>
      <c r="BL17" s="196" t="s">
        <v>5791</v>
      </c>
      <c r="BM17" s="197" t="s">
        <v>5791</v>
      </c>
      <c r="BN17" s="197" t="s">
        <v>5791</v>
      </c>
      <c r="BO17" s="197" t="s">
        <v>5791</v>
      </c>
      <c r="BP17" s="197" t="s">
        <v>5791</v>
      </c>
      <c r="BQ17" s="197" t="s">
        <v>5791</v>
      </c>
      <c r="BR17" s="197" t="s">
        <v>5791</v>
      </c>
      <c r="BS17" s="197" t="s">
        <v>5791</v>
      </c>
      <c r="BT17" s="196" t="s">
        <v>5791</v>
      </c>
      <c r="BU17" s="197" t="s">
        <v>5791</v>
      </c>
      <c r="BV17" s="197" t="s">
        <v>5791</v>
      </c>
      <c r="BW17" s="197" t="s">
        <v>5791</v>
      </c>
      <c r="BX17" s="197" t="s">
        <v>5791</v>
      </c>
      <c r="BY17" s="197" t="s">
        <v>5791</v>
      </c>
      <c r="BZ17" s="212" t="s">
        <v>5791</v>
      </c>
      <c r="CA17" s="197" t="s">
        <v>5791</v>
      </c>
      <c r="CB17" s="197" t="s">
        <v>5791</v>
      </c>
      <c r="CC17" s="197" t="s">
        <v>5791</v>
      </c>
      <c r="CD17" s="197" t="s">
        <v>5791</v>
      </c>
      <c r="CE17" s="197" t="s">
        <v>5791</v>
      </c>
      <c r="CF17" s="212" t="s">
        <v>5791</v>
      </c>
      <c r="CG17" s="303" t="s">
        <v>4425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298" t="s">
        <v>4425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298" t="s">
        <v>4421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5791</v>
      </c>
      <c r="CZ17" s="202" t="s">
        <v>5791</v>
      </c>
      <c r="DA17" s="202" t="s">
        <v>5791</v>
      </c>
      <c r="DB17" s="203" t="s">
        <v>5791</v>
      </c>
      <c r="DC17" s="201" t="s">
        <v>5791</v>
      </c>
      <c r="DD17" s="202" t="s">
        <v>5791</v>
      </c>
      <c r="DE17" s="203" t="s">
        <v>5791</v>
      </c>
      <c r="DF17" s="274" t="s">
        <v>5791</v>
      </c>
      <c r="DG17" s="310" t="s">
        <v>4422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15</v>
      </c>
      <c r="DN17" s="310" t="s">
        <v>4435</v>
      </c>
      <c r="DO17" s="306" t="s">
        <v>4565</v>
      </c>
    </row>
    <row r="18" spans="1:119">
      <c r="A18" s="18">
        <v>13</v>
      </c>
      <c r="B18" s="349"/>
      <c r="C18" s="349"/>
      <c r="D18" s="454"/>
      <c r="E18" s="374"/>
      <c r="F18" s="349"/>
      <c r="G18" s="369"/>
      <c r="H18" s="369"/>
      <c r="I18" s="369"/>
      <c r="J18" s="286" t="s">
        <v>4408</v>
      </c>
      <c r="K18" s="301" t="s">
        <v>4383</v>
      </c>
      <c r="L18" s="310" t="s">
        <v>5791</v>
      </c>
      <c r="M18" s="301" t="s">
        <v>4507</v>
      </c>
      <c r="N18" s="310" t="s">
        <v>4700</v>
      </c>
      <c r="O18" s="18" t="s">
        <v>4506</v>
      </c>
      <c r="P18" s="310" t="s">
        <v>6317</v>
      </c>
      <c r="Q18" s="310" t="s">
        <v>4420</v>
      </c>
      <c r="R18" s="310" t="s">
        <v>6317</v>
      </c>
      <c r="S18" s="310" t="s">
        <v>5791</v>
      </c>
      <c r="T18" s="59" t="s">
        <v>4420</v>
      </c>
      <c r="U18" s="59" t="s">
        <v>5791</v>
      </c>
      <c r="V18" s="59" t="s">
        <v>4420</v>
      </c>
      <c r="W18" s="59" t="s">
        <v>5791</v>
      </c>
      <c r="X18" s="310" t="s">
        <v>4420</v>
      </c>
      <c r="Y18" s="310" t="s">
        <v>5791</v>
      </c>
      <c r="Z18" s="310" t="s">
        <v>6048</v>
      </c>
      <c r="AA18" s="18">
        <v>6</v>
      </c>
      <c r="AB18" s="224">
        <v>0</v>
      </c>
      <c r="AC18" s="18">
        <v>0</v>
      </c>
      <c r="AD18" s="301" t="s">
        <v>514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1" t="s">
        <v>462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1" t="s">
        <v>5806</v>
      </c>
      <c r="AX18" s="310" t="s">
        <v>6129</v>
      </c>
      <c r="AY18" s="21" t="s">
        <v>6129</v>
      </c>
      <c r="AZ18" s="21">
        <v>19.05</v>
      </c>
      <c r="BA18" s="310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6318</v>
      </c>
      <c r="BH18" s="310" t="s">
        <v>6204</v>
      </c>
      <c r="BI18" s="310" t="s">
        <v>6204</v>
      </c>
      <c r="BJ18" s="310">
        <v>2</v>
      </c>
      <c r="BK18" s="310">
        <v>4</v>
      </c>
      <c r="BL18" s="196" t="s">
        <v>5791</v>
      </c>
      <c r="BM18" s="197" t="s">
        <v>5791</v>
      </c>
      <c r="BN18" s="197" t="s">
        <v>5791</v>
      </c>
      <c r="BO18" s="197" t="s">
        <v>5791</v>
      </c>
      <c r="BP18" s="197" t="s">
        <v>5791</v>
      </c>
      <c r="BQ18" s="197" t="s">
        <v>5791</v>
      </c>
      <c r="BR18" s="197" t="s">
        <v>5791</v>
      </c>
      <c r="BS18" s="197" t="s">
        <v>5791</v>
      </c>
      <c r="BT18" s="196" t="s">
        <v>5791</v>
      </c>
      <c r="BU18" s="197" t="s">
        <v>5791</v>
      </c>
      <c r="BV18" s="197" t="s">
        <v>5791</v>
      </c>
      <c r="BW18" s="197" t="s">
        <v>5791</v>
      </c>
      <c r="BX18" s="197" t="s">
        <v>5791</v>
      </c>
      <c r="BY18" s="197" t="s">
        <v>5791</v>
      </c>
      <c r="BZ18" s="212" t="s">
        <v>5791</v>
      </c>
      <c r="CA18" s="197" t="s">
        <v>5791</v>
      </c>
      <c r="CB18" s="197" t="s">
        <v>5791</v>
      </c>
      <c r="CC18" s="197" t="s">
        <v>5791</v>
      </c>
      <c r="CD18" s="197" t="s">
        <v>5791</v>
      </c>
      <c r="CE18" s="197" t="s">
        <v>5791</v>
      </c>
      <c r="CF18" s="212" t="s">
        <v>5791</v>
      </c>
      <c r="CG18" s="303" t="s">
        <v>4425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298" t="s">
        <v>4425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298" t="s">
        <v>4421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5791</v>
      </c>
      <c r="CZ18" s="202" t="s">
        <v>5791</v>
      </c>
      <c r="DA18" s="202" t="s">
        <v>5791</v>
      </c>
      <c r="DB18" s="203" t="s">
        <v>5791</v>
      </c>
      <c r="DC18" s="201" t="s">
        <v>5791</v>
      </c>
      <c r="DD18" s="202" t="s">
        <v>5791</v>
      </c>
      <c r="DE18" s="203" t="s">
        <v>5791</v>
      </c>
      <c r="DF18" s="274" t="s">
        <v>5791</v>
      </c>
      <c r="DG18" s="310" t="s">
        <v>4422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15</v>
      </c>
      <c r="DN18" s="310" t="s">
        <v>4435</v>
      </c>
      <c r="DO18" s="306" t="s">
        <v>4565</v>
      </c>
    </row>
    <row r="19" spans="1:119">
      <c r="A19" s="18">
        <v>14</v>
      </c>
      <c r="B19" s="349"/>
      <c r="C19" s="349"/>
      <c r="D19" s="454"/>
      <c r="E19" s="374"/>
      <c r="F19" s="349"/>
      <c r="G19" s="369"/>
      <c r="H19" s="369"/>
      <c r="I19" s="369"/>
      <c r="J19" s="286" t="s">
        <v>4409</v>
      </c>
      <c r="K19" s="301" t="s">
        <v>4383</v>
      </c>
      <c r="L19" s="310" t="s">
        <v>5791</v>
      </c>
      <c r="M19" s="301" t="s">
        <v>4507</v>
      </c>
      <c r="N19" s="310" t="s">
        <v>4700</v>
      </c>
      <c r="O19" s="18" t="s">
        <v>4506</v>
      </c>
      <c r="P19" s="310" t="s">
        <v>6317</v>
      </c>
      <c r="Q19" s="310" t="s">
        <v>4420</v>
      </c>
      <c r="R19" s="310" t="s">
        <v>6164</v>
      </c>
      <c r="S19" s="310">
        <v>6</v>
      </c>
      <c r="T19" s="59" t="s">
        <v>4420</v>
      </c>
      <c r="U19" s="59" t="s">
        <v>5791</v>
      </c>
      <c r="V19" s="59" t="s">
        <v>4420</v>
      </c>
      <c r="W19" s="59" t="s">
        <v>5791</v>
      </c>
      <c r="X19" s="310" t="s">
        <v>4420</v>
      </c>
      <c r="Y19" s="310" t="s">
        <v>5791</v>
      </c>
      <c r="Z19" s="310" t="s">
        <v>6048</v>
      </c>
      <c r="AA19" s="18">
        <v>6</v>
      </c>
      <c r="AB19" s="224">
        <v>0</v>
      </c>
      <c r="AC19" s="18">
        <v>0</v>
      </c>
      <c r="AD19" s="301" t="s">
        <v>514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1" t="s">
        <v>462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1" t="s">
        <v>5806</v>
      </c>
      <c r="AX19" s="310" t="s">
        <v>6129</v>
      </c>
      <c r="AY19" s="21" t="s">
        <v>6129</v>
      </c>
      <c r="AZ19" s="21">
        <v>19.05</v>
      </c>
      <c r="BA19" s="310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6318</v>
      </c>
      <c r="BH19" s="310" t="s">
        <v>6204</v>
      </c>
      <c r="BI19" s="310" t="s">
        <v>6204</v>
      </c>
      <c r="BJ19" s="310">
        <v>2</v>
      </c>
      <c r="BK19" s="310">
        <v>4</v>
      </c>
      <c r="BL19" s="196" t="s">
        <v>5791</v>
      </c>
      <c r="BM19" s="197" t="s">
        <v>5791</v>
      </c>
      <c r="BN19" s="197" t="s">
        <v>5791</v>
      </c>
      <c r="BO19" s="197" t="s">
        <v>5791</v>
      </c>
      <c r="BP19" s="197" t="s">
        <v>5791</v>
      </c>
      <c r="BQ19" s="197" t="s">
        <v>5791</v>
      </c>
      <c r="BR19" s="197" t="s">
        <v>5791</v>
      </c>
      <c r="BS19" s="197" t="s">
        <v>5791</v>
      </c>
      <c r="BT19" s="196" t="s">
        <v>5791</v>
      </c>
      <c r="BU19" s="197" t="s">
        <v>5791</v>
      </c>
      <c r="BV19" s="197" t="s">
        <v>5791</v>
      </c>
      <c r="BW19" s="197" t="s">
        <v>5791</v>
      </c>
      <c r="BX19" s="197" t="s">
        <v>5791</v>
      </c>
      <c r="BY19" s="197" t="s">
        <v>5791</v>
      </c>
      <c r="BZ19" s="212" t="s">
        <v>5791</v>
      </c>
      <c r="CA19" s="197" t="s">
        <v>5791</v>
      </c>
      <c r="CB19" s="197" t="s">
        <v>5791</v>
      </c>
      <c r="CC19" s="197" t="s">
        <v>5791</v>
      </c>
      <c r="CD19" s="197" t="s">
        <v>5791</v>
      </c>
      <c r="CE19" s="197" t="s">
        <v>5791</v>
      </c>
      <c r="CF19" s="212" t="s">
        <v>5791</v>
      </c>
      <c r="CG19" s="303" t="s">
        <v>4425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298" t="s">
        <v>4425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298" t="s">
        <v>4421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5791</v>
      </c>
      <c r="CZ19" s="202" t="s">
        <v>5791</v>
      </c>
      <c r="DA19" s="202" t="s">
        <v>5791</v>
      </c>
      <c r="DB19" s="203" t="s">
        <v>5791</v>
      </c>
      <c r="DC19" s="201" t="s">
        <v>5791</v>
      </c>
      <c r="DD19" s="202" t="s">
        <v>5791</v>
      </c>
      <c r="DE19" s="203" t="s">
        <v>5791</v>
      </c>
      <c r="DF19" s="274" t="s">
        <v>5791</v>
      </c>
      <c r="DG19" s="310" t="s">
        <v>4422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4769</v>
      </c>
      <c r="DN19" s="310" t="s">
        <v>4435</v>
      </c>
      <c r="DO19" s="306" t="s">
        <v>4565</v>
      </c>
    </row>
    <row r="20" spans="1:119">
      <c r="A20" s="18">
        <v>15</v>
      </c>
      <c r="B20" s="349"/>
      <c r="C20" s="349"/>
      <c r="D20" s="454"/>
      <c r="E20" s="374"/>
      <c r="F20" s="349"/>
      <c r="G20" s="369"/>
      <c r="H20" s="369"/>
      <c r="I20" s="369"/>
      <c r="J20" s="286" t="s">
        <v>4410</v>
      </c>
      <c r="K20" s="301" t="s">
        <v>4383</v>
      </c>
      <c r="L20" s="310" t="s">
        <v>5791</v>
      </c>
      <c r="M20" s="301" t="s">
        <v>4507</v>
      </c>
      <c r="N20" s="310" t="s">
        <v>4700</v>
      </c>
      <c r="O20" s="18" t="s">
        <v>4506</v>
      </c>
      <c r="P20" s="310" t="s">
        <v>6317</v>
      </c>
      <c r="Q20" s="310" t="s">
        <v>4420</v>
      </c>
      <c r="R20" s="310" t="s">
        <v>6164</v>
      </c>
      <c r="S20" s="310">
        <v>6</v>
      </c>
      <c r="T20" s="59" t="s">
        <v>4420</v>
      </c>
      <c r="U20" s="59" t="s">
        <v>5791</v>
      </c>
      <c r="V20" s="59" t="s">
        <v>4420</v>
      </c>
      <c r="W20" s="59" t="s">
        <v>5791</v>
      </c>
      <c r="X20" s="310" t="s">
        <v>4420</v>
      </c>
      <c r="Y20" s="310" t="s">
        <v>5791</v>
      </c>
      <c r="Z20" s="310" t="s">
        <v>6048</v>
      </c>
      <c r="AA20" s="18">
        <v>6</v>
      </c>
      <c r="AB20" s="224">
        <v>0</v>
      </c>
      <c r="AC20" s="18">
        <v>0</v>
      </c>
      <c r="AD20" s="301" t="s">
        <v>514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1" t="s">
        <v>462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1" t="s">
        <v>5806</v>
      </c>
      <c r="AX20" s="310" t="s">
        <v>6129</v>
      </c>
      <c r="AY20" s="21" t="s">
        <v>6129</v>
      </c>
      <c r="AZ20" s="21">
        <v>19.05</v>
      </c>
      <c r="BA20" s="310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6318</v>
      </c>
      <c r="BH20" s="310" t="s">
        <v>6204</v>
      </c>
      <c r="BI20" s="310" t="s">
        <v>6204</v>
      </c>
      <c r="BJ20" s="310">
        <v>2</v>
      </c>
      <c r="BK20" s="310">
        <v>4</v>
      </c>
      <c r="BL20" s="196" t="s">
        <v>5791</v>
      </c>
      <c r="BM20" s="197" t="s">
        <v>5791</v>
      </c>
      <c r="BN20" s="197" t="s">
        <v>5791</v>
      </c>
      <c r="BO20" s="197" t="s">
        <v>5791</v>
      </c>
      <c r="BP20" s="197" t="s">
        <v>5791</v>
      </c>
      <c r="BQ20" s="197" t="s">
        <v>5791</v>
      </c>
      <c r="BR20" s="197" t="s">
        <v>5791</v>
      </c>
      <c r="BS20" s="197" t="s">
        <v>5791</v>
      </c>
      <c r="BT20" s="196" t="s">
        <v>5791</v>
      </c>
      <c r="BU20" s="197" t="s">
        <v>5791</v>
      </c>
      <c r="BV20" s="197" t="s">
        <v>5791</v>
      </c>
      <c r="BW20" s="197" t="s">
        <v>5791</v>
      </c>
      <c r="BX20" s="197" t="s">
        <v>5791</v>
      </c>
      <c r="BY20" s="197" t="s">
        <v>5791</v>
      </c>
      <c r="BZ20" s="212" t="s">
        <v>5791</v>
      </c>
      <c r="CA20" s="197" t="s">
        <v>5791</v>
      </c>
      <c r="CB20" s="197" t="s">
        <v>5791</v>
      </c>
      <c r="CC20" s="197" t="s">
        <v>5791</v>
      </c>
      <c r="CD20" s="197" t="s">
        <v>5791</v>
      </c>
      <c r="CE20" s="197" t="s">
        <v>5791</v>
      </c>
      <c r="CF20" s="212" t="s">
        <v>5791</v>
      </c>
      <c r="CG20" s="303" t="s">
        <v>4425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298" t="s">
        <v>4425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298" t="s">
        <v>4421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5791</v>
      </c>
      <c r="CZ20" s="202" t="s">
        <v>5791</v>
      </c>
      <c r="DA20" s="202" t="s">
        <v>5791</v>
      </c>
      <c r="DB20" s="203" t="s">
        <v>5791</v>
      </c>
      <c r="DC20" s="201" t="s">
        <v>5791</v>
      </c>
      <c r="DD20" s="202" t="s">
        <v>5791</v>
      </c>
      <c r="DE20" s="203" t="s">
        <v>5791</v>
      </c>
      <c r="DF20" s="274" t="s">
        <v>5791</v>
      </c>
      <c r="DG20" s="310" t="s">
        <v>4422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15</v>
      </c>
      <c r="DN20" s="310" t="s">
        <v>4435</v>
      </c>
      <c r="DO20" s="306" t="s">
        <v>4565</v>
      </c>
    </row>
    <row r="21" spans="1:119">
      <c r="A21" s="18">
        <v>16</v>
      </c>
      <c r="B21" s="349"/>
      <c r="C21" s="349"/>
      <c r="D21" s="454"/>
      <c r="E21" s="374"/>
      <c r="F21" s="349"/>
      <c r="G21" s="369"/>
      <c r="H21" s="369"/>
      <c r="I21" s="369"/>
      <c r="J21" s="286" t="s">
        <v>4411</v>
      </c>
      <c r="K21" s="301" t="s">
        <v>4383</v>
      </c>
      <c r="L21" s="310" t="s">
        <v>5791</v>
      </c>
      <c r="M21" s="301" t="s">
        <v>4507</v>
      </c>
      <c r="N21" s="310" t="s">
        <v>4700</v>
      </c>
      <c r="O21" s="18" t="s">
        <v>4506</v>
      </c>
      <c r="P21" s="310" t="s">
        <v>6317</v>
      </c>
      <c r="Q21" s="310" t="s">
        <v>4420</v>
      </c>
      <c r="R21" s="310" t="s">
        <v>6164</v>
      </c>
      <c r="S21" s="310">
        <v>6</v>
      </c>
      <c r="T21" s="59" t="s">
        <v>4420</v>
      </c>
      <c r="U21" s="59" t="s">
        <v>5791</v>
      </c>
      <c r="V21" s="59" t="s">
        <v>4420</v>
      </c>
      <c r="W21" s="59" t="s">
        <v>5791</v>
      </c>
      <c r="X21" s="310" t="s">
        <v>4420</v>
      </c>
      <c r="Y21" s="310" t="s">
        <v>5791</v>
      </c>
      <c r="Z21" s="310" t="s">
        <v>6048</v>
      </c>
      <c r="AA21" s="18">
        <v>6</v>
      </c>
      <c r="AB21" s="224">
        <v>0</v>
      </c>
      <c r="AC21" s="18">
        <v>0</v>
      </c>
      <c r="AD21" s="301" t="s">
        <v>514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1" t="s">
        <v>462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1" t="s">
        <v>5806</v>
      </c>
      <c r="AX21" s="310" t="s">
        <v>6129</v>
      </c>
      <c r="AY21" s="21" t="s">
        <v>6129</v>
      </c>
      <c r="AZ21" s="21">
        <v>19.05</v>
      </c>
      <c r="BA21" s="310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6318</v>
      </c>
      <c r="BH21" s="310" t="s">
        <v>6204</v>
      </c>
      <c r="BI21" s="310" t="s">
        <v>6204</v>
      </c>
      <c r="BJ21" s="310">
        <v>2</v>
      </c>
      <c r="BK21" s="310">
        <v>4</v>
      </c>
      <c r="BL21" s="196" t="s">
        <v>5791</v>
      </c>
      <c r="BM21" s="197" t="s">
        <v>5791</v>
      </c>
      <c r="BN21" s="197" t="s">
        <v>5791</v>
      </c>
      <c r="BO21" s="197" t="s">
        <v>5791</v>
      </c>
      <c r="BP21" s="197" t="s">
        <v>5791</v>
      </c>
      <c r="BQ21" s="197" t="s">
        <v>5791</v>
      </c>
      <c r="BR21" s="197" t="s">
        <v>5791</v>
      </c>
      <c r="BS21" s="197" t="s">
        <v>5791</v>
      </c>
      <c r="BT21" s="196" t="s">
        <v>5791</v>
      </c>
      <c r="BU21" s="197" t="s">
        <v>5791</v>
      </c>
      <c r="BV21" s="197" t="s">
        <v>5791</v>
      </c>
      <c r="BW21" s="197" t="s">
        <v>5791</v>
      </c>
      <c r="BX21" s="197" t="s">
        <v>5791</v>
      </c>
      <c r="BY21" s="197" t="s">
        <v>5791</v>
      </c>
      <c r="BZ21" s="212" t="s">
        <v>5791</v>
      </c>
      <c r="CA21" s="197" t="s">
        <v>5791</v>
      </c>
      <c r="CB21" s="197" t="s">
        <v>5791</v>
      </c>
      <c r="CC21" s="197" t="s">
        <v>5791</v>
      </c>
      <c r="CD21" s="197" t="s">
        <v>5791</v>
      </c>
      <c r="CE21" s="197" t="s">
        <v>5791</v>
      </c>
      <c r="CF21" s="212" t="s">
        <v>5791</v>
      </c>
      <c r="CG21" s="303" t="s">
        <v>4425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298" t="s">
        <v>4425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298" t="s">
        <v>4421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5791</v>
      </c>
      <c r="CZ21" s="202" t="s">
        <v>5791</v>
      </c>
      <c r="DA21" s="202" t="s">
        <v>5791</v>
      </c>
      <c r="DB21" s="203" t="s">
        <v>5791</v>
      </c>
      <c r="DC21" s="201" t="s">
        <v>5791</v>
      </c>
      <c r="DD21" s="202" t="s">
        <v>5791</v>
      </c>
      <c r="DE21" s="203" t="s">
        <v>5791</v>
      </c>
      <c r="DF21" s="274" t="s">
        <v>5791</v>
      </c>
      <c r="DG21" s="310" t="s">
        <v>4422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15</v>
      </c>
      <c r="DN21" s="310" t="s">
        <v>4435</v>
      </c>
      <c r="DO21" s="306" t="s">
        <v>4565</v>
      </c>
    </row>
    <row r="22" spans="1:119">
      <c r="A22" s="18">
        <v>17</v>
      </c>
      <c r="B22" s="349"/>
      <c r="C22" s="349"/>
      <c r="D22" s="454"/>
      <c r="E22" s="374"/>
      <c r="F22" s="349"/>
      <c r="G22" s="369"/>
      <c r="H22" s="369"/>
      <c r="I22" s="369"/>
      <c r="J22" s="286" t="s">
        <v>4412</v>
      </c>
      <c r="K22" s="301" t="s">
        <v>4383</v>
      </c>
      <c r="L22" s="310" t="s">
        <v>5791</v>
      </c>
      <c r="M22" s="301" t="s">
        <v>4507</v>
      </c>
      <c r="N22" s="310" t="s">
        <v>4700</v>
      </c>
      <c r="O22" s="18" t="s">
        <v>4506</v>
      </c>
      <c r="P22" s="310" t="s">
        <v>6317</v>
      </c>
      <c r="Q22" s="310" t="s">
        <v>4420</v>
      </c>
      <c r="R22" s="310" t="s">
        <v>6317</v>
      </c>
      <c r="S22" s="310" t="s">
        <v>5791</v>
      </c>
      <c r="T22" s="59" t="s">
        <v>4420</v>
      </c>
      <c r="U22" s="59" t="s">
        <v>5791</v>
      </c>
      <c r="V22" s="59" t="s">
        <v>4420</v>
      </c>
      <c r="W22" s="59" t="s">
        <v>5791</v>
      </c>
      <c r="X22" s="310" t="s">
        <v>4420</v>
      </c>
      <c r="Y22" s="310" t="s">
        <v>5791</v>
      </c>
      <c r="Z22" s="310" t="s">
        <v>6048</v>
      </c>
      <c r="AA22" s="18">
        <v>6</v>
      </c>
      <c r="AB22" s="224">
        <v>0</v>
      </c>
      <c r="AC22" s="18">
        <v>0</v>
      </c>
      <c r="AD22" s="301" t="s">
        <v>522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1" t="s">
        <v>462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1" t="s">
        <v>5806</v>
      </c>
      <c r="AX22" s="310" t="s">
        <v>6129</v>
      </c>
      <c r="AY22" s="21" t="s">
        <v>6129</v>
      </c>
      <c r="AZ22" s="21">
        <v>19.05</v>
      </c>
      <c r="BA22" s="310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6318</v>
      </c>
      <c r="BH22" s="310" t="s">
        <v>6204</v>
      </c>
      <c r="BI22" s="310" t="s">
        <v>6204</v>
      </c>
      <c r="BJ22" s="310">
        <v>2</v>
      </c>
      <c r="BK22" s="310">
        <v>4</v>
      </c>
      <c r="BL22" s="196" t="s">
        <v>5791</v>
      </c>
      <c r="BM22" s="197" t="s">
        <v>5791</v>
      </c>
      <c r="BN22" s="197" t="s">
        <v>5791</v>
      </c>
      <c r="BO22" s="197" t="s">
        <v>5791</v>
      </c>
      <c r="BP22" s="197" t="s">
        <v>5791</v>
      </c>
      <c r="BQ22" s="197" t="s">
        <v>5791</v>
      </c>
      <c r="BR22" s="197" t="s">
        <v>5791</v>
      </c>
      <c r="BS22" s="197" t="s">
        <v>5791</v>
      </c>
      <c r="BT22" s="196" t="s">
        <v>5791</v>
      </c>
      <c r="BU22" s="197" t="s">
        <v>5791</v>
      </c>
      <c r="BV22" s="197" t="s">
        <v>5791</v>
      </c>
      <c r="BW22" s="197" t="s">
        <v>5791</v>
      </c>
      <c r="BX22" s="197" t="s">
        <v>5791</v>
      </c>
      <c r="BY22" s="197" t="s">
        <v>5791</v>
      </c>
      <c r="BZ22" s="212" t="s">
        <v>5791</v>
      </c>
      <c r="CA22" s="197" t="s">
        <v>5791</v>
      </c>
      <c r="CB22" s="197" t="s">
        <v>5791</v>
      </c>
      <c r="CC22" s="197" t="s">
        <v>5791</v>
      </c>
      <c r="CD22" s="197" t="s">
        <v>5791</v>
      </c>
      <c r="CE22" s="197" t="s">
        <v>5791</v>
      </c>
      <c r="CF22" s="212" t="s">
        <v>5791</v>
      </c>
      <c r="CG22" s="303" t="s">
        <v>4425</v>
      </c>
      <c r="CH22" s="59">
        <v>300</v>
      </c>
      <c r="CI22" s="303">
        <v>399</v>
      </c>
      <c r="CJ22" s="59">
        <v>450</v>
      </c>
      <c r="CK22" s="46">
        <v>539</v>
      </c>
      <c r="CL22" s="66">
        <v>200000</v>
      </c>
      <c r="CM22" s="298" t="s">
        <v>4425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298" t="s">
        <v>4421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5791</v>
      </c>
      <c r="CZ22" s="202" t="s">
        <v>5791</v>
      </c>
      <c r="DA22" s="202" t="s">
        <v>5791</v>
      </c>
      <c r="DB22" s="203" t="s">
        <v>5791</v>
      </c>
      <c r="DC22" s="201" t="s">
        <v>5791</v>
      </c>
      <c r="DD22" s="202" t="s">
        <v>5791</v>
      </c>
      <c r="DE22" s="203" t="s">
        <v>5791</v>
      </c>
      <c r="DF22" s="274" t="s">
        <v>5791</v>
      </c>
      <c r="DG22" s="310" t="s">
        <v>4422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4769</v>
      </c>
      <c r="DN22" s="310" t="s">
        <v>4435</v>
      </c>
      <c r="DO22" s="306" t="s">
        <v>4565</v>
      </c>
    </row>
    <row r="23" spans="1:119">
      <c r="A23" s="18">
        <v>18</v>
      </c>
      <c r="B23" s="349"/>
      <c r="C23" s="349"/>
      <c r="D23" s="454"/>
      <c r="E23" s="374"/>
      <c r="F23" s="349"/>
      <c r="G23" s="369"/>
      <c r="H23" s="369"/>
      <c r="I23" s="369"/>
      <c r="J23" s="286" t="s">
        <v>4413</v>
      </c>
      <c r="K23" s="301" t="s">
        <v>4383</v>
      </c>
      <c r="L23" s="310" t="s">
        <v>5791</v>
      </c>
      <c r="M23" s="301" t="s">
        <v>4507</v>
      </c>
      <c r="N23" s="310" t="s">
        <v>4700</v>
      </c>
      <c r="O23" s="18" t="s">
        <v>4506</v>
      </c>
      <c r="P23" s="310" t="s">
        <v>6317</v>
      </c>
      <c r="Q23" s="310" t="s">
        <v>4420</v>
      </c>
      <c r="R23" s="310" t="s">
        <v>6317</v>
      </c>
      <c r="S23" s="310" t="s">
        <v>5791</v>
      </c>
      <c r="T23" s="59" t="s">
        <v>4420</v>
      </c>
      <c r="U23" s="59" t="s">
        <v>5791</v>
      </c>
      <c r="V23" s="59" t="s">
        <v>4420</v>
      </c>
      <c r="W23" s="59" t="s">
        <v>5791</v>
      </c>
      <c r="X23" s="310" t="s">
        <v>4420</v>
      </c>
      <c r="Y23" s="310" t="s">
        <v>5791</v>
      </c>
      <c r="Z23" s="310" t="s">
        <v>6048</v>
      </c>
      <c r="AA23" s="18">
        <v>6</v>
      </c>
      <c r="AB23" s="224">
        <v>0</v>
      </c>
      <c r="AC23" s="18">
        <v>0</v>
      </c>
      <c r="AD23" s="301" t="s">
        <v>522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1" t="s">
        <v>462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1" t="s">
        <v>5806</v>
      </c>
      <c r="AX23" s="310" t="s">
        <v>6129</v>
      </c>
      <c r="AY23" s="21" t="s">
        <v>6129</v>
      </c>
      <c r="AZ23" s="21">
        <v>19.05</v>
      </c>
      <c r="BA23" s="310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6318</v>
      </c>
      <c r="BH23" s="310" t="s">
        <v>6204</v>
      </c>
      <c r="BI23" s="310" t="s">
        <v>6204</v>
      </c>
      <c r="BJ23" s="310">
        <v>2</v>
      </c>
      <c r="BK23" s="310">
        <v>4</v>
      </c>
      <c r="BL23" s="196" t="s">
        <v>5791</v>
      </c>
      <c r="BM23" s="197" t="s">
        <v>5791</v>
      </c>
      <c r="BN23" s="197" t="s">
        <v>5791</v>
      </c>
      <c r="BO23" s="197" t="s">
        <v>5791</v>
      </c>
      <c r="BP23" s="197" t="s">
        <v>5791</v>
      </c>
      <c r="BQ23" s="197" t="s">
        <v>5791</v>
      </c>
      <c r="BR23" s="197" t="s">
        <v>5791</v>
      </c>
      <c r="BS23" s="197" t="s">
        <v>5791</v>
      </c>
      <c r="BT23" s="196" t="s">
        <v>5791</v>
      </c>
      <c r="BU23" s="197" t="s">
        <v>5791</v>
      </c>
      <c r="BV23" s="197" t="s">
        <v>5791</v>
      </c>
      <c r="BW23" s="197" t="s">
        <v>5791</v>
      </c>
      <c r="BX23" s="197" t="s">
        <v>5791</v>
      </c>
      <c r="BY23" s="197" t="s">
        <v>5791</v>
      </c>
      <c r="BZ23" s="212" t="s">
        <v>5791</v>
      </c>
      <c r="CA23" s="197" t="s">
        <v>5791</v>
      </c>
      <c r="CB23" s="197" t="s">
        <v>5791</v>
      </c>
      <c r="CC23" s="197" t="s">
        <v>5791</v>
      </c>
      <c r="CD23" s="197" t="s">
        <v>5791</v>
      </c>
      <c r="CE23" s="197" t="s">
        <v>5791</v>
      </c>
      <c r="CF23" s="212" t="s">
        <v>5791</v>
      </c>
      <c r="CG23" s="303" t="s">
        <v>4425</v>
      </c>
      <c r="CH23" s="59">
        <v>300</v>
      </c>
      <c r="CI23" s="303">
        <v>399</v>
      </c>
      <c r="CJ23" s="59">
        <v>450</v>
      </c>
      <c r="CK23" s="46">
        <v>539</v>
      </c>
      <c r="CL23" s="66">
        <v>200000</v>
      </c>
      <c r="CM23" s="298" t="s">
        <v>4425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298" t="s">
        <v>4421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5791</v>
      </c>
      <c r="CZ23" s="202" t="s">
        <v>5791</v>
      </c>
      <c r="DA23" s="202" t="s">
        <v>5791</v>
      </c>
      <c r="DB23" s="203" t="s">
        <v>5791</v>
      </c>
      <c r="DC23" s="201" t="s">
        <v>5791</v>
      </c>
      <c r="DD23" s="202" t="s">
        <v>5791</v>
      </c>
      <c r="DE23" s="203" t="s">
        <v>5791</v>
      </c>
      <c r="DF23" s="274" t="s">
        <v>5791</v>
      </c>
      <c r="DG23" s="310" t="s">
        <v>4422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4770</v>
      </c>
      <c r="DN23" s="310" t="s">
        <v>4435</v>
      </c>
      <c r="DO23" s="306" t="s">
        <v>4565</v>
      </c>
    </row>
    <row r="24" spans="1:119">
      <c r="A24" s="18">
        <v>19</v>
      </c>
      <c r="B24" s="349"/>
      <c r="C24" s="349"/>
      <c r="D24" s="454"/>
      <c r="E24" s="374"/>
      <c r="F24" s="349"/>
      <c r="G24" s="369"/>
      <c r="H24" s="369"/>
      <c r="I24" s="369"/>
      <c r="J24" s="286" t="s">
        <v>4414</v>
      </c>
      <c r="K24" s="301" t="s">
        <v>4383</v>
      </c>
      <c r="L24" s="310" t="s">
        <v>5791</v>
      </c>
      <c r="M24" s="301" t="s">
        <v>4507</v>
      </c>
      <c r="N24" s="310" t="s">
        <v>4700</v>
      </c>
      <c r="O24" s="18" t="s">
        <v>4506</v>
      </c>
      <c r="P24" s="310" t="s">
        <v>6317</v>
      </c>
      <c r="Q24" s="310" t="s">
        <v>4420</v>
      </c>
      <c r="R24" s="310" t="s">
        <v>6317</v>
      </c>
      <c r="S24" s="310" t="s">
        <v>5791</v>
      </c>
      <c r="T24" s="59" t="s">
        <v>4420</v>
      </c>
      <c r="U24" s="59" t="s">
        <v>5791</v>
      </c>
      <c r="V24" s="59" t="s">
        <v>4420</v>
      </c>
      <c r="W24" s="59" t="s">
        <v>5791</v>
      </c>
      <c r="X24" s="310" t="s">
        <v>4420</v>
      </c>
      <c r="Y24" s="310" t="s">
        <v>5791</v>
      </c>
      <c r="Z24" s="310" t="s">
        <v>6048</v>
      </c>
      <c r="AA24" s="18">
        <v>6</v>
      </c>
      <c r="AB24" s="224">
        <v>0</v>
      </c>
      <c r="AC24" s="18">
        <v>0</v>
      </c>
      <c r="AD24" s="301" t="s">
        <v>522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1" t="s">
        <v>462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1" t="s">
        <v>5806</v>
      </c>
      <c r="AX24" s="310" t="s">
        <v>6129</v>
      </c>
      <c r="AY24" s="21" t="s">
        <v>6129</v>
      </c>
      <c r="AZ24" s="21">
        <v>19.05</v>
      </c>
      <c r="BA24" s="310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6318</v>
      </c>
      <c r="BH24" s="310" t="s">
        <v>6204</v>
      </c>
      <c r="BI24" s="310" t="s">
        <v>6204</v>
      </c>
      <c r="BJ24" s="310">
        <v>2</v>
      </c>
      <c r="BK24" s="310">
        <v>4</v>
      </c>
      <c r="BL24" s="196" t="s">
        <v>5791</v>
      </c>
      <c r="BM24" s="197" t="s">
        <v>5791</v>
      </c>
      <c r="BN24" s="197" t="s">
        <v>5791</v>
      </c>
      <c r="BO24" s="197" t="s">
        <v>5791</v>
      </c>
      <c r="BP24" s="197" t="s">
        <v>5791</v>
      </c>
      <c r="BQ24" s="197" t="s">
        <v>5791</v>
      </c>
      <c r="BR24" s="197" t="s">
        <v>5791</v>
      </c>
      <c r="BS24" s="197" t="s">
        <v>5791</v>
      </c>
      <c r="BT24" s="196" t="s">
        <v>5791</v>
      </c>
      <c r="BU24" s="197" t="s">
        <v>5791</v>
      </c>
      <c r="BV24" s="197" t="s">
        <v>5791</v>
      </c>
      <c r="BW24" s="197" t="s">
        <v>5791</v>
      </c>
      <c r="BX24" s="197" t="s">
        <v>5791</v>
      </c>
      <c r="BY24" s="197" t="s">
        <v>5791</v>
      </c>
      <c r="BZ24" s="212" t="s">
        <v>5791</v>
      </c>
      <c r="CA24" s="197" t="s">
        <v>5791</v>
      </c>
      <c r="CB24" s="197" t="s">
        <v>5791</v>
      </c>
      <c r="CC24" s="197" t="s">
        <v>5791</v>
      </c>
      <c r="CD24" s="197" t="s">
        <v>5791</v>
      </c>
      <c r="CE24" s="197" t="s">
        <v>5791</v>
      </c>
      <c r="CF24" s="212" t="s">
        <v>5791</v>
      </c>
      <c r="CG24" s="303" t="s">
        <v>4425</v>
      </c>
      <c r="CH24" s="59">
        <v>300</v>
      </c>
      <c r="CI24" s="303">
        <v>399</v>
      </c>
      <c r="CJ24" s="59">
        <v>450</v>
      </c>
      <c r="CK24" s="46">
        <v>539</v>
      </c>
      <c r="CL24" s="66">
        <v>200000</v>
      </c>
      <c r="CM24" s="298" t="s">
        <v>4425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298" t="s">
        <v>4421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5791</v>
      </c>
      <c r="CZ24" s="202" t="s">
        <v>5791</v>
      </c>
      <c r="DA24" s="202" t="s">
        <v>5791</v>
      </c>
      <c r="DB24" s="203" t="s">
        <v>5791</v>
      </c>
      <c r="DC24" s="201" t="s">
        <v>5791</v>
      </c>
      <c r="DD24" s="202" t="s">
        <v>5791</v>
      </c>
      <c r="DE24" s="203" t="s">
        <v>5791</v>
      </c>
      <c r="DF24" s="274" t="s">
        <v>5791</v>
      </c>
      <c r="DG24" s="310" t="s">
        <v>4422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15</v>
      </c>
      <c r="DN24" s="310" t="s">
        <v>4435</v>
      </c>
      <c r="DO24" s="306" t="s">
        <v>4565</v>
      </c>
    </row>
    <row r="25" spans="1:119">
      <c r="A25" s="18">
        <v>20</v>
      </c>
      <c r="B25" s="349"/>
      <c r="C25" s="349"/>
      <c r="D25" s="454"/>
      <c r="E25" s="374"/>
      <c r="F25" s="349"/>
      <c r="G25" s="369"/>
      <c r="H25" s="369"/>
      <c r="I25" s="369"/>
      <c r="J25" s="286" t="s">
        <v>4415</v>
      </c>
      <c r="K25" s="301" t="s">
        <v>4383</v>
      </c>
      <c r="L25" s="310" t="s">
        <v>5791</v>
      </c>
      <c r="M25" s="301" t="s">
        <v>4507</v>
      </c>
      <c r="N25" s="310" t="s">
        <v>4700</v>
      </c>
      <c r="O25" s="18" t="s">
        <v>4506</v>
      </c>
      <c r="P25" s="310" t="s">
        <v>6317</v>
      </c>
      <c r="Q25" s="310" t="s">
        <v>4420</v>
      </c>
      <c r="R25" s="310" t="s">
        <v>6164</v>
      </c>
      <c r="S25" s="310">
        <v>6</v>
      </c>
      <c r="T25" s="59" t="s">
        <v>4420</v>
      </c>
      <c r="U25" s="59" t="s">
        <v>5791</v>
      </c>
      <c r="V25" s="59" t="s">
        <v>4420</v>
      </c>
      <c r="W25" s="59" t="s">
        <v>5791</v>
      </c>
      <c r="X25" s="310" t="s">
        <v>4420</v>
      </c>
      <c r="Y25" s="310" t="s">
        <v>5791</v>
      </c>
      <c r="Z25" s="310" t="s">
        <v>6048</v>
      </c>
      <c r="AA25" s="18">
        <v>6</v>
      </c>
      <c r="AB25" s="224">
        <v>0</v>
      </c>
      <c r="AC25" s="18">
        <v>0</v>
      </c>
      <c r="AD25" s="301" t="s">
        <v>522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1" t="s">
        <v>462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1" t="s">
        <v>5806</v>
      </c>
      <c r="AX25" s="310" t="s">
        <v>6129</v>
      </c>
      <c r="AY25" s="21" t="s">
        <v>6129</v>
      </c>
      <c r="AZ25" s="21">
        <v>19.05</v>
      </c>
      <c r="BA25" s="310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6318</v>
      </c>
      <c r="BH25" s="310" t="s">
        <v>6204</v>
      </c>
      <c r="BI25" s="310" t="s">
        <v>6204</v>
      </c>
      <c r="BJ25" s="310">
        <v>2</v>
      </c>
      <c r="BK25" s="310">
        <v>4</v>
      </c>
      <c r="BL25" s="196" t="s">
        <v>5791</v>
      </c>
      <c r="BM25" s="197" t="s">
        <v>5791</v>
      </c>
      <c r="BN25" s="197" t="s">
        <v>5791</v>
      </c>
      <c r="BO25" s="197" t="s">
        <v>5791</v>
      </c>
      <c r="BP25" s="197" t="s">
        <v>5791</v>
      </c>
      <c r="BQ25" s="197" t="s">
        <v>5791</v>
      </c>
      <c r="BR25" s="197" t="s">
        <v>5791</v>
      </c>
      <c r="BS25" s="197" t="s">
        <v>5791</v>
      </c>
      <c r="BT25" s="196" t="s">
        <v>5791</v>
      </c>
      <c r="BU25" s="197" t="s">
        <v>5791</v>
      </c>
      <c r="BV25" s="197" t="s">
        <v>5791</v>
      </c>
      <c r="BW25" s="197" t="s">
        <v>5791</v>
      </c>
      <c r="BX25" s="197" t="s">
        <v>5791</v>
      </c>
      <c r="BY25" s="197" t="s">
        <v>5791</v>
      </c>
      <c r="BZ25" s="212" t="s">
        <v>5791</v>
      </c>
      <c r="CA25" s="197" t="s">
        <v>5791</v>
      </c>
      <c r="CB25" s="197" t="s">
        <v>5791</v>
      </c>
      <c r="CC25" s="197" t="s">
        <v>5791</v>
      </c>
      <c r="CD25" s="197" t="s">
        <v>5791</v>
      </c>
      <c r="CE25" s="197" t="s">
        <v>5791</v>
      </c>
      <c r="CF25" s="212" t="s">
        <v>5791</v>
      </c>
      <c r="CG25" s="303" t="s">
        <v>4425</v>
      </c>
      <c r="CH25" s="59">
        <v>300</v>
      </c>
      <c r="CI25" s="303">
        <v>399</v>
      </c>
      <c r="CJ25" s="59">
        <v>450</v>
      </c>
      <c r="CK25" s="46">
        <v>539</v>
      </c>
      <c r="CL25" s="66">
        <v>200000</v>
      </c>
      <c r="CM25" s="298" t="s">
        <v>4425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298" t="s">
        <v>4421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5791</v>
      </c>
      <c r="CZ25" s="202" t="s">
        <v>5791</v>
      </c>
      <c r="DA25" s="202" t="s">
        <v>5791</v>
      </c>
      <c r="DB25" s="203" t="s">
        <v>5791</v>
      </c>
      <c r="DC25" s="201" t="s">
        <v>5791</v>
      </c>
      <c r="DD25" s="202" t="s">
        <v>5791</v>
      </c>
      <c r="DE25" s="203" t="s">
        <v>5791</v>
      </c>
      <c r="DF25" s="274" t="s">
        <v>5791</v>
      </c>
      <c r="DG25" s="310" t="s">
        <v>4422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4769</v>
      </c>
      <c r="DN25" s="310" t="s">
        <v>4435</v>
      </c>
      <c r="DO25" s="306" t="s">
        <v>4565</v>
      </c>
    </row>
    <row r="26" spans="1:119">
      <c r="A26" s="18">
        <v>21</v>
      </c>
      <c r="B26" s="349"/>
      <c r="C26" s="349"/>
      <c r="D26" s="454"/>
      <c r="E26" s="374"/>
      <c r="F26" s="349"/>
      <c r="G26" s="369"/>
      <c r="H26" s="369"/>
      <c r="I26" s="369"/>
      <c r="J26" s="286" t="s">
        <v>4416</v>
      </c>
      <c r="K26" s="301" t="s">
        <v>4383</v>
      </c>
      <c r="L26" s="310" t="s">
        <v>5791</v>
      </c>
      <c r="M26" s="301" t="s">
        <v>4507</v>
      </c>
      <c r="N26" s="310" t="s">
        <v>4700</v>
      </c>
      <c r="O26" s="18" t="s">
        <v>4506</v>
      </c>
      <c r="P26" s="310" t="s">
        <v>6317</v>
      </c>
      <c r="Q26" s="310" t="s">
        <v>4420</v>
      </c>
      <c r="R26" s="310" t="s">
        <v>6164</v>
      </c>
      <c r="S26" s="310">
        <v>6</v>
      </c>
      <c r="T26" s="59" t="s">
        <v>4420</v>
      </c>
      <c r="U26" s="59" t="s">
        <v>5791</v>
      </c>
      <c r="V26" s="59" t="s">
        <v>4420</v>
      </c>
      <c r="W26" s="59" t="s">
        <v>5791</v>
      </c>
      <c r="X26" s="310" t="s">
        <v>4420</v>
      </c>
      <c r="Y26" s="310" t="s">
        <v>5791</v>
      </c>
      <c r="Z26" s="310" t="s">
        <v>6048</v>
      </c>
      <c r="AA26" s="18">
        <v>6</v>
      </c>
      <c r="AB26" s="224">
        <v>0</v>
      </c>
      <c r="AC26" s="18">
        <v>0</v>
      </c>
      <c r="AD26" s="301" t="s">
        <v>522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1" t="s">
        <v>462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1" t="s">
        <v>5806</v>
      </c>
      <c r="AX26" s="310" t="s">
        <v>6129</v>
      </c>
      <c r="AY26" s="21" t="s">
        <v>6129</v>
      </c>
      <c r="AZ26" s="21">
        <v>19.05</v>
      </c>
      <c r="BA26" s="310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6318</v>
      </c>
      <c r="BH26" s="310" t="s">
        <v>6204</v>
      </c>
      <c r="BI26" s="310" t="s">
        <v>6204</v>
      </c>
      <c r="BJ26" s="310">
        <v>2</v>
      </c>
      <c r="BK26" s="310">
        <v>4</v>
      </c>
      <c r="BL26" s="196" t="s">
        <v>5791</v>
      </c>
      <c r="BM26" s="197" t="s">
        <v>5791</v>
      </c>
      <c r="BN26" s="197" t="s">
        <v>5791</v>
      </c>
      <c r="BO26" s="197" t="s">
        <v>5791</v>
      </c>
      <c r="BP26" s="197" t="s">
        <v>5791</v>
      </c>
      <c r="BQ26" s="197" t="s">
        <v>5791</v>
      </c>
      <c r="BR26" s="197" t="s">
        <v>5791</v>
      </c>
      <c r="BS26" s="197" t="s">
        <v>5791</v>
      </c>
      <c r="BT26" s="196" t="s">
        <v>5791</v>
      </c>
      <c r="BU26" s="197" t="s">
        <v>5791</v>
      </c>
      <c r="BV26" s="197" t="s">
        <v>5791</v>
      </c>
      <c r="BW26" s="197" t="s">
        <v>5791</v>
      </c>
      <c r="BX26" s="197" t="s">
        <v>5791</v>
      </c>
      <c r="BY26" s="197" t="s">
        <v>5791</v>
      </c>
      <c r="BZ26" s="212" t="s">
        <v>5791</v>
      </c>
      <c r="CA26" s="197" t="s">
        <v>5791</v>
      </c>
      <c r="CB26" s="197" t="s">
        <v>5791</v>
      </c>
      <c r="CC26" s="197" t="s">
        <v>5791</v>
      </c>
      <c r="CD26" s="197" t="s">
        <v>5791</v>
      </c>
      <c r="CE26" s="197" t="s">
        <v>5791</v>
      </c>
      <c r="CF26" s="212" t="s">
        <v>5791</v>
      </c>
      <c r="CG26" s="303" t="s">
        <v>4425</v>
      </c>
      <c r="CH26" s="59">
        <v>300</v>
      </c>
      <c r="CI26" s="303">
        <v>399</v>
      </c>
      <c r="CJ26" s="59">
        <v>450</v>
      </c>
      <c r="CK26" s="46">
        <v>539</v>
      </c>
      <c r="CL26" s="66">
        <v>200000</v>
      </c>
      <c r="CM26" s="298" t="s">
        <v>4425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298" t="s">
        <v>4421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5791</v>
      </c>
      <c r="CZ26" s="202" t="s">
        <v>5791</v>
      </c>
      <c r="DA26" s="202" t="s">
        <v>5791</v>
      </c>
      <c r="DB26" s="203" t="s">
        <v>5791</v>
      </c>
      <c r="DC26" s="201" t="s">
        <v>5791</v>
      </c>
      <c r="DD26" s="202" t="s">
        <v>5791</v>
      </c>
      <c r="DE26" s="203" t="s">
        <v>5791</v>
      </c>
      <c r="DF26" s="274" t="s">
        <v>5791</v>
      </c>
      <c r="DG26" s="310" t="s">
        <v>4422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15</v>
      </c>
      <c r="DN26" s="310" t="s">
        <v>4435</v>
      </c>
      <c r="DO26" s="306" t="s">
        <v>4565</v>
      </c>
    </row>
    <row r="27" spans="1:119">
      <c r="A27" s="18">
        <v>22</v>
      </c>
      <c r="B27" s="349"/>
      <c r="C27" s="349"/>
      <c r="D27" s="454"/>
      <c r="E27" s="374"/>
      <c r="F27" s="349"/>
      <c r="G27" s="369"/>
      <c r="H27" s="369"/>
      <c r="I27" s="369"/>
      <c r="J27" s="286" t="s">
        <v>4417</v>
      </c>
      <c r="K27" s="301" t="s">
        <v>4383</v>
      </c>
      <c r="L27" s="310" t="s">
        <v>5791</v>
      </c>
      <c r="M27" s="301" t="s">
        <v>4507</v>
      </c>
      <c r="N27" s="310" t="s">
        <v>4700</v>
      </c>
      <c r="O27" s="18" t="s">
        <v>4506</v>
      </c>
      <c r="P27" s="310" t="s">
        <v>6317</v>
      </c>
      <c r="Q27" s="310" t="s">
        <v>4420</v>
      </c>
      <c r="R27" s="310" t="s">
        <v>6164</v>
      </c>
      <c r="S27" s="310">
        <v>6</v>
      </c>
      <c r="T27" s="59" t="s">
        <v>4420</v>
      </c>
      <c r="U27" s="59" t="s">
        <v>5791</v>
      </c>
      <c r="V27" s="59" t="s">
        <v>4420</v>
      </c>
      <c r="W27" s="59" t="s">
        <v>5791</v>
      </c>
      <c r="X27" s="310" t="s">
        <v>4420</v>
      </c>
      <c r="Y27" s="310" t="s">
        <v>5791</v>
      </c>
      <c r="Z27" s="310" t="s">
        <v>6048</v>
      </c>
      <c r="AA27" s="18">
        <v>6</v>
      </c>
      <c r="AB27" s="224">
        <v>0</v>
      </c>
      <c r="AC27" s="18">
        <v>0</v>
      </c>
      <c r="AD27" s="301" t="s">
        <v>522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1" t="s">
        <v>462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1" t="s">
        <v>5806</v>
      </c>
      <c r="AX27" s="310" t="s">
        <v>6129</v>
      </c>
      <c r="AY27" s="21" t="s">
        <v>6129</v>
      </c>
      <c r="AZ27" s="21">
        <v>19.05</v>
      </c>
      <c r="BA27" s="310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6318</v>
      </c>
      <c r="BH27" s="310" t="s">
        <v>6204</v>
      </c>
      <c r="BI27" s="310" t="s">
        <v>6204</v>
      </c>
      <c r="BJ27" s="310">
        <v>2</v>
      </c>
      <c r="BK27" s="310">
        <v>4</v>
      </c>
      <c r="BL27" s="196" t="s">
        <v>5791</v>
      </c>
      <c r="BM27" s="197" t="s">
        <v>5791</v>
      </c>
      <c r="BN27" s="197" t="s">
        <v>5791</v>
      </c>
      <c r="BO27" s="197" t="s">
        <v>5791</v>
      </c>
      <c r="BP27" s="197" t="s">
        <v>5791</v>
      </c>
      <c r="BQ27" s="197" t="s">
        <v>5791</v>
      </c>
      <c r="BR27" s="197" t="s">
        <v>5791</v>
      </c>
      <c r="BS27" s="197" t="s">
        <v>5791</v>
      </c>
      <c r="BT27" s="196" t="s">
        <v>5791</v>
      </c>
      <c r="BU27" s="197" t="s">
        <v>5791</v>
      </c>
      <c r="BV27" s="197" t="s">
        <v>5791</v>
      </c>
      <c r="BW27" s="197" t="s">
        <v>5791</v>
      </c>
      <c r="BX27" s="197" t="s">
        <v>5791</v>
      </c>
      <c r="BY27" s="197" t="s">
        <v>5791</v>
      </c>
      <c r="BZ27" s="212" t="s">
        <v>5791</v>
      </c>
      <c r="CA27" s="197" t="s">
        <v>5791</v>
      </c>
      <c r="CB27" s="197" t="s">
        <v>5791</v>
      </c>
      <c r="CC27" s="197" t="s">
        <v>5791</v>
      </c>
      <c r="CD27" s="197" t="s">
        <v>5791</v>
      </c>
      <c r="CE27" s="197" t="s">
        <v>5791</v>
      </c>
      <c r="CF27" s="212" t="s">
        <v>5791</v>
      </c>
      <c r="CG27" s="303" t="s">
        <v>4425</v>
      </c>
      <c r="CH27" s="59">
        <v>300</v>
      </c>
      <c r="CI27" s="303">
        <v>399</v>
      </c>
      <c r="CJ27" s="59">
        <v>450</v>
      </c>
      <c r="CK27" s="46">
        <v>539</v>
      </c>
      <c r="CL27" s="66">
        <v>200000</v>
      </c>
      <c r="CM27" s="298" t="s">
        <v>4425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298" t="s">
        <v>4421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5791</v>
      </c>
      <c r="CZ27" s="202" t="s">
        <v>5791</v>
      </c>
      <c r="DA27" s="202" t="s">
        <v>5791</v>
      </c>
      <c r="DB27" s="203" t="s">
        <v>5791</v>
      </c>
      <c r="DC27" s="201" t="s">
        <v>5791</v>
      </c>
      <c r="DD27" s="202" t="s">
        <v>5791</v>
      </c>
      <c r="DE27" s="203" t="s">
        <v>5791</v>
      </c>
      <c r="DF27" s="274" t="s">
        <v>5791</v>
      </c>
      <c r="DG27" s="310" t="s">
        <v>4422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15</v>
      </c>
      <c r="DN27" s="310" t="s">
        <v>4435</v>
      </c>
      <c r="DO27" s="306" t="s">
        <v>4565</v>
      </c>
    </row>
    <row r="28" spans="1:119">
      <c r="A28" s="18">
        <v>23</v>
      </c>
      <c r="B28" s="349"/>
      <c r="C28" s="349"/>
      <c r="D28" s="454"/>
      <c r="E28" s="374"/>
      <c r="F28" s="349"/>
      <c r="G28" s="369"/>
      <c r="H28" s="369"/>
      <c r="I28" s="369"/>
      <c r="J28" s="286" t="s">
        <v>4418</v>
      </c>
      <c r="K28" s="301" t="s">
        <v>4383</v>
      </c>
      <c r="L28" s="310" t="s">
        <v>5791</v>
      </c>
      <c r="M28" s="301" t="s">
        <v>4507</v>
      </c>
      <c r="N28" s="310" t="s">
        <v>4700</v>
      </c>
      <c r="O28" s="18" t="s">
        <v>4506</v>
      </c>
      <c r="P28" s="310" t="s">
        <v>6317</v>
      </c>
      <c r="Q28" s="310" t="s">
        <v>4420</v>
      </c>
      <c r="R28" s="310" t="s">
        <v>6317</v>
      </c>
      <c r="S28" s="310" t="s">
        <v>5791</v>
      </c>
      <c r="T28" s="59" t="s">
        <v>4420</v>
      </c>
      <c r="U28" s="59" t="s">
        <v>5791</v>
      </c>
      <c r="V28" s="59" t="s">
        <v>4420</v>
      </c>
      <c r="W28" s="59" t="s">
        <v>5791</v>
      </c>
      <c r="X28" s="310" t="s">
        <v>4420</v>
      </c>
      <c r="Y28" s="310" t="s">
        <v>5791</v>
      </c>
      <c r="Z28" s="310" t="s">
        <v>6048</v>
      </c>
      <c r="AA28" s="18">
        <v>6</v>
      </c>
      <c r="AB28" s="224">
        <v>0</v>
      </c>
      <c r="AC28" s="18">
        <v>0</v>
      </c>
      <c r="AD28" s="301" t="s">
        <v>512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1" t="s">
        <v>462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1" t="s">
        <v>5806</v>
      </c>
      <c r="AX28" s="310" t="s">
        <v>6129</v>
      </c>
      <c r="AY28" s="21" t="s">
        <v>6129</v>
      </c>
      <c r="AZ28" s="21">
        <v>19.05</v>
      </c>
      <c r="BA28" s="310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6318</v>
      </c>
      <c r="BH28" s="310" t="s">
        <v>6204</v>
      </c>
      <c r="BI28" s="310" t="s">
        <v>6204</v>
      </c>
      <c r="BJ28" s="310">
        <v>2</v>
      </c>
      <c r="BK28" s="310">
        <v>4</v>
      </c>
      <c r="BL28" s="196" t="s">
        <v>5791</v>
      </c>
      <c r="BM28" s="197" t="s">
        <v>5791</v>
      </c>
      <c r="BN28" s="197" t="s">
        <v>5791</v>
      </c>
      <c r="BO28" s="197" t="s">
        <v>5791</v>
      </c>
      <c r="BP28" s="197" t="s">
        <v>5791</v>
      </c>
      <c r="BQ28" s="197" t="s">
        <v>5791</v>
      </c>
      <c r="BR28" s="197" t="s">
        <v>5791</v>
      </c>
      <c r="BS28" s="197" t="s">
        <v>5791</v>
      </c>
      <c r="BT28" s="196" t="s">
        <v>5791</v>
      </c>
      <c r="BU28" s="197" t="s">
        <v>5791</v>
      </c>
      <c r="BV28" s="197" t="s">
        <v>5791</v>
      </c>
      <c r="BW28" s="197" t="s">
        <v>5791</v>
      </c>
      <c r="BX28" s="197" t="s">
        <v>5791</v>
      </c>
      <c r="BY28" s="197" t="s">
        <v>5791</v>
      </c>
      <c r="BZ28" s="212" t="s">
        <v>5791</v>
      </c>
      <c r="CA28" s="197" t="s">
        <v>5791</v>
      </c>
      <c r="CB28" s="197" t="s">
        <v>5791</v>
      </c>
      <c r="CC28" s="197" t="s">
        <v>5791</v>
      </c>
      <c r="CD28" s="197" t="s">
        <v>5791</v>
      </c>
      <c r="CE28" s="197" t="s">
        <v>5791</v>
      </c>
      <c r="CF28" s="212" t="s">
        <v>5791</v>
      </c>
      <c r="CG28" s="303" t="s">
        <v>4425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298" t="s">
        <v>4425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298" t="s">
        <v>4421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5791</v>
      </c>
      <c r="CZ28" s="202" t="s">
        <v>5791</v>
      </c>
      <c r="DA28" s="202" t="s">
        <v>5791</v>
      </c>
      <c r="DB28" s="203" t="s">
        <v>5791</v>
      </c>
      <c r="DC28" s="201" t="s">
        <v>5791</v>
      </c>
      <c r="DD28" s="202" t="s">
        <v>5791</v>
      </c>
      <c r="DE28" s="203" t="s">
        <v>5791</v>
      </c>
      <c r="DF28" s="274" t="s">
        <v>5791</v>
      </c>
      <c r="DG28" s="310" t="s">
        <v>4422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15</v>
      </c>
      <c r="DN28" s="310" t="s">
        <v>4435</v>
      </c>
      <c r="DO28" s="306" t="s">
        <v>4565</v>
      </c>
    </row>
    <row r="29" spans="1:119" ht="16.2" thickBot="1">
      <c r="A29" s="18">
        <v>24</v>
      </c>
      <c r="B29" s="350"/>
      <c r="C29" s="350"/>
      <c r="D29" s="455"/>
      <c r="E29" s="375"/>
      <c r="F29" s="350"/>
      <c r="G29" s="370"/>
      <c r="H29" s="370"/>
      <c r="I29" s="370"/>
      <c r="J29" s="286" t="s">
        <v>4419</v>
      </c>
      <c r="K29" s="308" t="s">
        <v>4383</v>
      </c>
      <c r="L29" s="311" t="s">
        <v>5791</v>
      </c>
      <c r="M29" s="301" t="s">
        <v>4507</v>
      </c>
      <c r="N29" s="310" t="s">
        <v>4700</v>
      </c>
      <c r="O29" s="18" t="s">
        <v>4506</v>
      </c>
      <c r="P29" s="310" t="s">
        <v>6317</v>
      </c>
      <c r="Q29" s="310" t="s">
        <v>4420</v>
      </c>
      <c r="R29" s="310" t="s">
        <v>6164</v>
      </c>
      <c r="S29" s="311">
        <v>6</v>
      </c>
      <c r="T29" s="59" t="s">
        <v>4420</v>
      </c>
      <c r="U29" s="59" t="s">
        <v>5791</v>
      </c>
      <c r="V29" s="59" t="s">
        <v>4420</v>
      </c>
      <c r="W29" s="59" t="s">
        <v>5791</v>
      </c>
      <c r="X29" s="310" t="s">
        <v>4420</v>
      </c>
      <c r="Y29" s="311" t="s">
        <v>5791</v>
      </c>
      <c r="Z29" s="310" t="s">
        <v>6048</v>
      </c>
      <c r="AA29" s="18">
        <v>6</v>
      </c>
      <c r="AB29" s="224">
        <v>0</v>
      </c>
      <c r="AC29" s="18">
        <v>0</v>
      </c>
      <c r="AD29" s="308" t="s">
        <v>512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8" t="s">
        <v>462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1" t="s">
        <v>5806</v>
      </c>
      <c r="AX29" s="310" t="s">
        <v>6129</v>
      </c>
      <c r="AY29" s="21" t="s">
        <v>6129</v>
      </c>
      <c r="AZ29" s="21">
        <v>19.05</v>
      </c>
      <c r="BA29" s="310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6318</v>
      </c>
      <c r="BH29" s="310" t="s">
        <v>6204</v>
      </c>
      <c r="BI29" s="310" t="s">
        <v>6204</v>
      </c>
      <c r="BJ29" s="311">
        <v>2</v>
      </c>
      <c r="BK29" s="311">
        <v>4</v>
      </c>
      <c r="BL29" s="196" t="s">
        <v>5791</v>
      </c>
      <c r="BM29" s="197" t="s">
        <v>5791</v>
      </c>
      <c r="BN29" s="197" t="s">
        <v>5791</v>
      </c>
      <c r="BO29" s="197" t="s">
        <v>5791</v>
      </c>
      <c r="BP29" s="197" t="s">
        <v>5791</v>
      </c>
      <c r="BQ29" s="197" t="s">
        <v>5791</v>
      </c>
      <c r="BR29" s="197" t="s">
        <v>5791</v>
      </c>
      <c r="BS29" s="197" t="s">
        <v>5791</v>
      </c>
      <c r="BT29" s="196" t="s">
        <v>5791</v>
      </c>
      <c r="BU29" s="197" t="s">
        <v>5791</v>
      </c>
      <c r="BV29" s="197" t="s">
        <v>5791</v>
      </c>
      <c r="BW29" s="197" t="s">
        <v>5791</v>
      </c>
      <c r="BX29" s="197" t="s">
        <v>5791</v>
      </c>
      <c r="BY29" s="197" t="s">
        <v>5791</v>
      </c>
      <c r="BZ29" s="212" t="s">
        <v>5791</v>
      </c>
      <c r="CA29" s="197" t="s">
        <v>5791</v>
      </c>
      <c r="CB29" s="197" t="s">
        <v>5791</v>
      </c>
      <c r="CC29" s="197" t="s">
        <v>5791</v>
      </c>
      <c r="CD29" s="197" t="s">
        <v>5791</v>
      </c>
      <c r="CE29" s="197" t="s">
        <v>5791</v>
      </c>
      <c r="CF29" s="212" t="s">
        <v>5791</v>
      </c>
      <c r="CG29" s="303" t="s">
        <v>4425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4425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4421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5791</v>
      </c>
      <c r="CZ29" s="205" t="s">
        <v>5791</v>
      </c>
      <c r="DA29" s="205" t="s">
        <v>5791</v>
      </c>
      <c r="DB29" s="206" t="s">
        <v>5791</v>
      </c>
      <c r="DC29" s="201" t="s">
        <v>5791</v>
      </c>
      <c r="DD29" s="202" t="s">
        <v>5791</v>
      </c>
      <c r="DE29" s="203" t="s">
        <v>5791</v>
      </c>
      <c r="DF29" s="274" t="s">
        <v>5791</v>
      </c>
      <c r="DG29" s="311" t="s">
        <v>4422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15</v>
      </c>
      <c r="DN29" s="310" t="s">
        <v>4435</v>
      </c>
      <c r="DO29" s="306" t="s">
        <v>4565</v>
      </c>
    </row>
    <row r="30" spans="1:119" ht="15.6" customHeight="1">
      <c r="A30" s="17">
        <v>25</v>
      </c>
      <c r="B30" s="348">
        <v>2</v>
      </c>
      <c r="C30" s="348">
        <v>1974</v>
      </c>
      <c r="D30" s="359" t="s">
        <v>4464</v>
      </c>
      <c r="E30" s="359" t="s">
        <v>4834</v>
      </c>
      <c r="F30" s="348">
        <v>6</v>
      </c>
      <c r="G30" s="348" t="s">
        <v>5897</v>
      </c>
      <c r="H30" s="348" t="s">
        <v>5896</v>
      </c>
      <c r="I30" s="348" t="s">
        <v>6217</v>
      </c>
      <c r="J30" s="284" t="s">
        <v>4397</v>
      </c>
      <c r="K30" s="300" t="s">
        <v>4383</v>
      </c>
      <c r="L30" s="309" t="s">
        <v>5791</v>
      </c>
      <c r="M30" s="300" t="s">
        <v>4508</v>
      </c>
      <c r="N30" s="309" t="s">
        <v>4702</v>
      </c>
      <c r="O30" s="17" t="s">
        <v>4506</v>
      </c>
      <c r="P30" s="309" t="s">
        <v>4420</v>
      </c>
      <c r="Q30" s="309" t="s">
        <v>4420</v>
      </c>
      <c r="R30" s="309" t="s">
        <v>4420</v>
      </c>
      <c r="S30" s="309" t="s">
        <v>5791</v>
      </c>
      <c r="T30" s="64" t="s">
        <v>4420</v>
      </c>
      <c r="U30" s="64" t="s">
        <v>5791</v>
      </c>
      <c r="V30" s="64" t="s">
        <v>4420</v>
      </c>
      <c r="W30" s="64" t="s">
        <v>5791</v>
      </c>
      <c r="X30" s="309" t="s">
        <v>4420</v>
      </c>
      <c r="Y30" s="309" t="s">
        <v>5791</v>
      </c>
      <c r="Z30" s="30" t="s">
        <v>4558</v>
      </c>
      <c r="AA30" s="87">
        <v>10</v>
      </c>
      <c r="AB30" s="225">
        <v>0</v>
      </c>
      <c r="AC30" s="17">
        <v>0</v>
      </c>
      <c r="AD30" s="300" t="s">
        <v>3972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0" t="s">
        <v>3913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0" t="s">
        <v>5806</v>
      </c>
      <c r="AX30" s="123" t="s">
        <v>5797</v>
      </c>
      <c r="AY30" s="309" t="s">
        <v>6129</v>
      </c>
      <c r="AZ30" s="309">
        <v>20</v>
      </c>
      <c r="BA30" s="309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4420</v>
      </c>
      <c r="BH30" s="309" t="s">
        <v>4465</v>
      </c>
      <c r="BI30" s="309" t="s">
        <v>6204</v>
      </c>
      <c r="BJ30" s="309">
        <v>4</v>
      </c>
      <c r="BK30" s="309">
        <v>6</v>
      </c>
      <c r="BL30" s="194" t="s">
        <v>5791</v>
      </c>
      <c r="BM30" s="195" t="s">
        <v>5791</v>
      </c>
      <c r="BN30" s="195" t="s">
        <v>5791</v>
      </c>
      <c r="BO30" s="195" t="s">
        <v>5791</v>
      </c>
      <c r="BP30" s="195" t="s">
        <v>5791</v>
      </c>
      <c r="BQ30" s="195" t="s">
        <v>5791</v>
      </c>
      <c r="BR30" s="195" t="s">
        <v>5791</v>
      </c>
      <c r="BS30" s="195" t="s">
        <v>5791</v>
      </c>
      <c r="BT30" s="194" t="s">
        <v>5791</v>
      </c>
      <c r="BU30" s="195" t="s">
        <v>5791</v>
      </c>
      <c r="BV30" s="195" t="s">
        <v>5791</v>
      </c>
      <c r="BW30" s="195" t="s">
        <v>5791</v>
      </c>
      <c r="BX30" s="195" t="s">
        <v>5791</v>
      </c>
      <c r="BY30" s="195" t="s">
        <v>5791</v>
      </c>
      <c r="BZ30" s="213" t="s">
        <v>5791</v>
      </c>
      <c r="CA30" s="195" t="s">
        <v>5791</v>
      </c>
      <c r="CB30" s="195" t="s">
        <v>5791</v>
      </c>
      <c r="CC30" s="195" t="s">
        <v>5791</v>
      </c>
      <c r="CD30" s="195" t="s">
        <v>5791</v>
      </c>
      <c r="CE30" s="195" t="s">
        <v>5791</v>
      </c>
      <c r="CF30" s="213" t="s">
        <v>5791</v>
      </c>
      <c r="CG30" s="30" t="s">
        <v>4449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4449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4421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5791</v>
      </c>
      <c r="CZ30" s="199" t="s">
        <v>5791</v>
      </c>
      <c r="DA30" s="199" t="s">
        <v>5791</v>
      </c>
      <c r="DB30" s="200" t="s">
        <v>5791</v>
      </c>
      <c r="DC30" s="198" t="s">
        <v>5791</v>
      </c>
      <c r="DD30" s="199" t="s">
        <v>5791</v>
      </c>
      <c r="DE30" s="200" t="s">
        <v>5791</v>
      </c>
      <c r="DF30" s="273" t="s">
        <v>5791</v>
      </c>
      <c r="DG30" s="309">
        <v>10.9</v>
      </c>
      <c r="DH30" s="309">
        <v>900</v>
      </c>
      <c r="DI30" s="30">
        <v>990</v>
      </c>
      <c r="DJ30" s="309">
        <v>1000</v>
      </c>
      <c r="DK30" s="30">
        <v>1100</v>
      </c>
      <c r="DL30" s="75">
        <v>200000</v>
      </c>
      <c r="DM30" s="28" t="s">
        <v>4778</v>
      </c>
      <c r="DN30" s="309" t="s">
        <v>4435</v>
      </c>
      <c r="DO30" s="305" t="s">
        <v>4565</v>
      </c>
    </row>
    <row r="31" spans="1:119">
      <c r="A31" s="18">
        <v>26</v>
      </c>
      <c r="B31" s="349"/>
      <c r="C31" s="349"/>
      <c r="D31" s="360"/>
      <c r="E31" s="360"/>
      <c r="F31" s="349"/>
      <c r="G31" s="349"/>
      <c r="H31" s="349"/>
      <c r="I31" s="349"/>
      <c r="J31" s="286" t="s">
        <v>4417</v>
      </c>
      <c r="K31" s="301" t="s">
        <v>4383</v>
      </c>
      <c r="L31" s="310" t="s">
        <v>5791</v>
      </c>
      <c r="M31" s="301" t="s">
        <v>4508</v>
      </c>
      <c r="N31" s="310" t="s">
        <v>4702</v>
      </c>
      <c r="O31" s="18" t="s">
        <v>4506</v>
      </c>
      <c r="P31" s="310" t="s">
        <v>4420</v>
      </c>
      <c r="Q31" s="310" t="s">
        <v>4420</v>
      </c>
      <c r="R31" s="310" t="s">
        <v>4420</v>
      </c>
      <c r="S31" s="310" t="s">
        <v>5791</v>
      </c>
      <c r="T31" s="59" t="s">
        <v>4420</v>
      </c>
      <c r="U31" s="59" t="s">
        <v>5791</v>
      </c>
      <c r="V31" s="59" t="s">
        <v>4420</v>
      </c>
      <c r="W31" s="59" t="s">
        <v>5791</v>
      </c>
      <c r="X31" s="310" t="s">
        <v>4470</v>
      </c>
      <c r="Y31" s="310">
        <v>16</v>
      </c>
      <c r="Z31" s="32" t="s">
        <v>4558</v>
      </c>
      <c r="AA31" s="72">
        <v>10</v>
      </c>
      <c r="AB31" s="224">
        <v>0</v>
      </c>
      <c r="AC31" s="18">
        <v>0</v>
      </c>
      <c r="AD31" s="301" t="s">
        <v>3982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1" t="s">
        <v>3922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0">
        <f>(AT31-AK31)-AU31</f>
        <v>25</v>
      </c>
      <c r="AW31" s="301" t="s">
        <v>5806</v>
      </c>
      <c r="AX31" s="310" t="s">
        <v>5797</v>
      </c>
      <c r="AY31" s="310" t="s">
        <v>6129</v>
      </c>
      <c r="AZ31" s="310">
        <v>22</v>
      </c>
      <c r="BA31" s="310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4420</v>
      </c>
      <c r="BH31" s="310" t="s">
        <v>4465</v>
      </c>
      <c r="BI31" s="310" t="s">
        <v>6204</v>
      </c>
      <c r="BJ31" s="310">
        <v>4</v>
      </c>
      <c r="BK31" s="310">
        <v>6</v>
      </c>
      <c r="BL31" s="196" t="s">
        <v>5791</v>
      </c>
      <c r="BM31" s="197" t="s">
        <v>5791</v>
      </c>
      <c r="BN31" s="197" t="s">
        <v>5791</v>
      </c>
      <c r="BO31" s="197" t="s">
        <v>5791</v>
      </c>
      <c r="BP31" s="197" t="s">
        <v>5791</v>
      </c>
      <c r="BQ31" s="197" t="s">
        <v>5791</v>
      </c>
      <c r="BR31" s="197" t="s">
        <v>5791</v>
      </c>
      <c r="BS31" s="197" t="s">
        <v>5791</v>
      </c>
      <c r="BT31" s="196" t="s">
        <v>5791</v>
      </c>
      <c r="BU31" s="197" t="s">
        <v>5791</v>
      </c>
      <c r="BV31" s="197" t="s">
        <v>5791</v>
      </c>
      <c r="BW31" s="197" t="s">
        <v>5791</v>
      </c>
      <c r="BX31" s="197" t="s">
        <v>5791</v>
      </c>
      <c r="BY31" s="197" t="s">
        <v>5791</v>
      </c>
      <c r="BZ31" s="212" t="s">
        <v>5791</v>
      </c>
      <c r="CA31" s="197" t="s">
        <v>5791</v>
      </c>
      <c r="CB31" s="197" t="s">
        <v>5791</v>
      </c>
      <c r="CC31" s="197" t="s">
        <v>5791</v>
      </c>
      <c r="CD31" s="197" t="s">
        <v>5791</v>
      </c>
      <c r="CE31" s="197" t="s">
        <v>5791</v>
      </c>
      <c r="CF31" s="212" t="s">
        <v>5791</v>
      </c>
      <c r="CG31" s="32" t="s">
        <v>4449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4449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4421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5791</v>
      </c>
      <c r="CZ31" s="202" t="s">
        <v>5791</v>
      </c>
      <c r="DA31" s="202" t="s">
        <v>5791</v>
      </c>
      <c r="DB31" s="203" t="s">
        <v>5791</v>
      </c>
      <c r="DC31" s="201" t="s">
        <v>5791</v>
      </c>
      <c r="DD31" s="202" t="s">
        <v>5791</v>
      </c>
      <c r="DE31" s="203" t="s">
        <v>5791</v>
      </c>
      <c r="DF31" s="274" t="s">
        <v>5791</v>
      </c>
      <c r="DG31" s="310">
        <v>10.9</v>
      </c>
      <c r="DH31" s="310">
        <v>900</v>
      </c>
      <c r="DI31" s="32">
        <v>990</v>
      </c>
      <c r="DJ31" s="310">
        <v>1000</v>
      </c>
      <c r="DK31" s="32">
        <v>1100</v>
      </c>
      <c r="DL31" s="60">
        <v>200000</v>
      </c>
      <c r="DM31" s="29" t="s">
        <v>4778</v>
      </c>
      <c r="DN31" s="310" t="s">
        <v>4435</v>
      </c>
      <c r="DO31" s="306" t="s">
        <v>4565</v>
      </c>
    </row>
    <row r="32" spans="1:119">
      <c r="A32" s="18">
        <v>27</v>
      </c>
      <c r="B32" s="349"/>
      <c r="C32" s="349"/>
      <c r="D32" s="360"/>
      <c r="E32" s="360"/>
      <c r="F32" s="349"/>
      <c r="G32" s="349"/>
      <c r="H32" s="349"/>
      <c r="I32" s="349"/>
      <c r="J32" s="286" t="s">
        <v>4466</v>
      </c>
      <c r="K32" s="301" t="s">
        <v>4383</v>
      </c>
      <c r="L32" s="310" t="s">
        <v>5791</v>
      </c>
      <c r="M32" s="301" t="s">
        <v>4508</v>
      </c>
      <c r="N32" s="310" t="s">
        <v>4707</v>
      </c>
      <c r="O32" s="18" t="s">
        <v>4506</v>
      </c>
      <c r="P32" s="310" t="s">
        <v>4420</v>
      </c>
      <c r="Q32" s="310" t="s">
        <v>4420</v>
      </c>
      <c r="R32" s="310" t="s">
        <v>4420</v>
      </c>
      <c r="S32" s="310" t="s">
        <v>5791</v>
      </c>
      <c r="T32" s="59" t="s">
        <v>4420</v>
      </c>
      <c r="U32" s="59" t="s">
        <v>5791</v>
      </c>
      <c r="V32" s="59" t="s">
        <v>4420</v>
      </c>
      <c r="W32" s="59" t="s">
        <v>5791</v>
      </c>
      <c r="X32" s="310" t="s">
        <v>4470</v>
      </c>
      <c r="Y32" s="310">
        <v>15</v>
      </c>
      <c r="Z32" s="32" t="s">
        <v>4558</v>
      </c>
      <c r="AA32" s="72">
        <v>10</v>
      </c>
      <c r="AB32" s="224">
        <v>0</v>
      </c>
      <c r="AC32" s="18">
        <v>0</v>
      </c>
      <c r="AD32" s="301" t="s">
        <v>3982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1" t="s">
        <v>3913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0">
        <v>20</v>
      </c>
      <c r="AW32" s="301" t="s">
        <v>5806</v>
      </c>
      <c r="AX32" s="310" t="s">
        <v>6129</v>
      </c>
      <c r="AY32" s="310" t="s">
        <v>6129</v>
      </c>
      <c r="AZ32" s="310">
        <v>22</v>
      </c>
      <c r="BA32" s="310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4420</v>
      </c>
      <c r="BH32" s="310" t="s">
        <v>4465</v>
      </c>
      <c r="BI32" s="310" t="s">
        <v>6204</v>
      </c>
      <c r="BJ32" s="310">
        <v>4</v>
      </c>
      <c r="BK32" s="310">
        <v>6</v>
      </c>
      <c r="BL32" s="196" t="s">
        <v>5791</v>
      </c>
      <c r="BM32" s="197" t="s">
        <v>5791</v>
      </c>
      <c r="BN32" s="197" t="s">
        <v>5791</v>
      </c>
      <c r="BO32" s="197" t="s">
        <v>5791</v>
      </c>
      <c r="BP32" s="197" t="s">
        <v>5791</v>
      </c>
      <c r="BQ32" s="197" t="s">
        <v>5791</v>
      </c>
      <c r="BR32" s="197" t="s">
        <v>5791</v>
      </c>
      <c r="BS32" s="197" t="s">
        <v>5791</v>
      </c>
      <c r="BT32" s="196" t="s">
        <v>5791</v>
      </c>
      <c r="BU32" s="197" t="s">
        <v>5791</v>
      </c>
      <c r="BV32" s="197" t="s">
        <v>5791</v>
      </c>
      <c r="BW32" s="197" t="s">
        <v>5791</v>
      </c>
      <c r="BX32" s="197" t="s">
        <v>5791</v>
      </c>
      <c r="BY32" s="197" t="s">
        <v>5791</v>
      </c>
      <c r="BZ32" s="212" t="s">
        <v>5791</v>
      </c>
      <c r="CA32" s="197" t="s">
        <v>5791</v>
      </c>
      <c r="CB32" s="197" t="s">
        <v>5791</v>
      </c>
      <c r="CC32" s="197" t="s">
        <v>5791</v>
      </c>
      <c r="CD32" s="197" t="s">
        <v>5791</v>
      </c>
      <c r="CE32" s="197" t="s">
        <v>5791</v>
      </c>
      <c r="CF32" s="212" t="s">
        <v>5791</v>
      </c>
      <c r="CG32" s="32" t="s">
        <v>4449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4449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4421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5791</v>
      </c>
      <c r="CZ32" s="202" t="s">
        <v>5791</v>
      </c>
      <c r="DA32" s="202" t="s">
        <v>5791</v>
      </c>
      <c r="DB32" s="203" t="s">
        <v>5791</v>
      </c>
      <c r="DC32" s="201" t="s">
        <v>5791</v>
      </c>
      <c r="DD32" s="202" t="s">
        <v>5791</v>
      </c>
      <c r="DE32" s="203" t="s">
        <v>5791</v>
      </c>
      <c r="DF32" s="274" t="s">
        <v>5791</v>
      </c>
      <c r="DG32" s="310">
        <v>10.9</v>
      </c>
      <c r="DH32" s="310">
        <v>900</v>
      </c>
      <c r="DI32" s="32">
        <v>990</v>
      </c>
      <c r="DJ32" s="310">
        <v>1000</v>
      </c>
      <c r="DK32" s="32">
        <v>1100</v>
      </c>
      <c r="DL32" s="60">
        <v>200000</v>
      </c>
      <c r="DM32" s="29" t="s">
        <v>4778</v>
      </c>
      <c r="DN32" s="310" t="s">
        <v>4435</v>
      </c>
      <c r="DO32" s="306" t="s">
        <v>4565</v>
      </c>
    </row>
    <row r="33" spans="1:119">
      <c r="A33" s="18">
        <v>28</v>
      </c>
      <c r="B33" s="349"/>
      <c r="C33" s="349"/>
      <c r="D33" s="360"/>
      <c r="E33" s="360"/>
      <c r="F33" s="349"/>
      <c r="G33" s="349"/>
      <c r="H33" s="349"/>
      <c r="I33" s="349"/>
      <c r="J33" s="286" t="s">
        <v>4467</v>
      </c>
      <c r="K33" s="301" t="s">
        <v>4383</v>
      </c>
      <c r="L33" s="310" t="s">
        <v>5791</v>
      </c>
      <c r="M33" s="301" t="s">
        <v>4508</v>
      </c>
      <c r="N33" s="310" t="s">
        <v>4707</v>
      </c>
      <c r="O33" s="18" t="s">
        <v>4506</v>
      </c>
      <c r="P33" s="310" t="s">
        <v>4420</v>
      </c>
      <c r="Q33" s="310" t="s">
        <v>4420</v>
      </c>
      <c r="R33" s="310" t="s">
        <v>4420</v>
      </c>
      <c r="S33" s="310" t="s">
        <v>5791</v>
      </c>
      <c r="T33" s="59" t="s">
        <v>4420</v>
      </c>
      <c r="U33" s="59" t="s">
        <v>5791</v>
      </c>
      <c r="V33" s="59" t="s">
        <v>4420</v>
      </c>
      <c r="W33" s="59" t="s">
        <v>5791</v>
      </c>
      <c r="X33" s="310" t="s">
        <v>4470</v>
      </c>
      <c r="Y33" s="310">
        <v>15</v>
      </c>
      <c r="Z33" s="32" t="s">
        <v>4558</v>
      </c>
      <c r="AA33" s="72">
        <v>10</v>
      </c>
      <c r="AB33" s="224">
        <v>0</v>
      </c>
      <c r="AC33" s="18">
        <v>0</v>
      </c>
      <c r="AD33" s="301" t="s">
        <v>3982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1" t="s">
        <v>3913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0">
        <v>50</v>
      </c>
      <c r="AW33" s="301" t="s">
        <v>5806</v>
      </c>
      <c r="AX33" s="310" t="s">
        <v>6129</v>
      </c>
      <c r="AY33" s="310" t="s">
        <v>6129</v>
      </c>
      <c r="AZ33" s="310">
        <v>22</v>
      </c>
      <c r="BA33" s="310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4420</v>
      </c>
      <c r="BH33" s="310" t="s">
        <v>4465</v>
      </c>
      <c r="BI33" s="310" t="s">
        <v>6204</v>
      </c>
      <c r="BJ33" s="310">
        <v>4</v>
      </c>
      <c r="BK33" s="310">
        <v>6</v>
      </c>
      <c r="BL33" s="196" t="s">
        <v>5791</v>
      </c>
      <c r="BM33" s="197" t="s">
        <v>5791</v>
      </c>
      <c r="BN33" s="197" t="s">
        <v>5791</v>
      </c>
      <c r="BO33" s="197" t="s">
        <v>5791</v>
      </c>
      <c r="BP33" s="197" t="s">
        <v>5791</v>
      </c>
      <c r="BQ33" s="197" t="s">
        <v>5791</v>
      </c>
      <c r="BR33" s="197" t="s">
        <v>5791</v>
      </c>
      <c r="BS33" s="197" t="s">
        <v>5791</v>
      </c>
      <c r="BT33" s="196" t="s">
        <v>5791</v>
      </c>
      <c r="BU33" s="197" t="s">
        <v>5791</v>
      </c>
      <c r="BV33" s="197" t="s">
        <v>5791</v>
      </c>
      <c r="BW33" s="197" t="s">
        <v>5791</v>
      </c>
      <c r="BX33" s="197" t="s">
        <v>5791</v>
      </c>
      <c r="BY33" s="197" t="s">
        <v>5791</v>
      </c>
      <c r="BZ33" s="212" t="s">
        <v>5791</v>
      </c>
      <c r="CA33" s="197" t="s">
        <v>5791</v>
      </c>
      <c r="CB33" s="197" t="s">
        <v>5791</v>
      </c>
      <c r="CC33" s="197" t="s">
        <v>5791</v>
      </c>
      <c r="CD33" s="197" t="s">
        <v>5791</v>
      </c>
      <c r="CE33" s="197" t="s">
        <v>5791</v>
      </c>
      <c r="CF33" s="212" t="s">
        <v>5791</v>
      </c>
      <c r="CG33" s="32" t="s">
        <v>4449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4449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4421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5791</v>
      </c>
      <c r="CZ33" s="202" t="s">
        <v>5791</v>
      </c>
      <c r="DA33" s="202" t="s">
        <v>5791</v>
      </c>
      <c r="DB33" s="203" t="s">
        <v>5791</v>
      </c>
      <c r="DC33" s="201" t="s">
        <v>5791</v>
      </c>
      <c r="DD33" s="202" t="s">
        <v>5791</v>
      </c>
      <c r="DE33" s="203" t="s">
        <v>5791</v>
      </c>
      <c r="DF33" s="274" t="s">
        <v>5791</v>
      </c>
      <c r="DG33" s="310">
        <v>10.9</v>
      </c>
      <c r="DH33" s="310">
        <v>900</v>
      </c>
      <c r="DI33" s="32">
        <v>990</v>
      </c>
      <c r="DJ33" s="310">
        <v>1000</v>
      </c>
      <c r="DK33" s="32">
        <v>1100</v>
      </c>
      <c r="DL33" s="60">
        <v>200000</v>
      </c>
      <c r="DM33" s="29" t="s">
        <v>4778</v>
      </c>
      <c r="DN33" s="310" t="s">
        <v>4435</v>
      </c>
      <c r="DO33" s="306" t="s">
        <v>4565</v>
      </c>
    </row>
    <row r="34" spans="1:119">
      <c r="A34" s="18">
        <v>29</v>
      </c>
      <c r="B34" s="349"/>
      <c r="C34" s="349"/>
      <c r="D34" s="360"/>
      <c r="E34" s="360"/>
      <c r="F34" s="349"/>
      <c r="G34" s="349"/>
      <c r="H34" s="349"/>
      <c r="I34" s="349"/>
      <c r="J34" s="286" t="s">
        <v>4468</v>
      </c>
      <c r="K34" s="301" t="s">
        <v>4383</v>
      </c>
      <c r="L34" s="310" t="s">
        <v>5791</v>
      </c>
      <c r="M34" s="301" t="s">
        <v>4508</v>
      </c>
      <c r="N34" s="310" t="s">
        <v>4707</v>
      </c>
      <c r="O34" s="18" t="s">
        <v>4506</v>
      </c>
      <c r="P34" s="310" t="s">
        <v>4420</v>
      </c>
      <c r="Q34" s="310" t="s">
        <v>4420</v>
      </c>
      <c r="R34" s="310" t="s">
        <v>4420</v>
      </c>
      <c r="S34" s="310" t="s">
        <v>5791</v>
      </c>
      <c r="T34" s="59" t="s">
        <v>4420</v>
      </c>
      <c r="U34" s="59" t="s">
        <v>5791</v>
      </c>
      <c r="V34" s="59" t="s">
        <v>4420</v>
      </c>
      <c r="W34" s="59" t="s">
        <v>5791</v>
      </c>
      <c r="X34" s="310" t="s">
        <v>4470</v>
      </c>
      <c r="Y34" s="310">
        <v>15</v>
      </c>
      <c r="Z34" s="32" t="s">
        <v>4558</v>
      </c>
      <c r="AA34" s="72">
        <v>10</v>
      </c>
      <c r="AB34" s="224">
        <v>0</v>
      </c>
      <c r="AC34" s="18">
        <v>0</v>
      </c>
      <c r="AD34" s="301" t="s">
        <v>3982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1" t="s">
        <v>3913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0">
        <v>50</v>
      </c>
      <c r="AW34" s="301" t="s">
        <v>5806</v>
      </c>
      <c r="AX34" s="43" t="s">
        <v>6129</v>
      </c>
      <c r="AY34" s="310" t="s">
        <v>6129</v>
      </c>
      <c r="AZ34" s="310">
        <v>22</v>
      </c>
      <c r="BA34" s="310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4420</v>
      </c>
      <c r="BH34" s="310" t="s">
        <v>4465</v>
      </c>
      <c r="BI34" s="310" t="s">
        <v>6204</v>
      </c>
      <c r="BJ34" s="310">
        <v>4</v>
      </c>
      <c r="BK34" s="310">
        <v>6</v>
      </c>
      <c r="BL34" s="196" t="s">
        <v>5791</v>
      </c>
      <c r="BM34" s="197" t="s">
        <v>5791</v>
      </c>
      <c r="BN34" s="197" t="s">
        <v>5791</v>
      </c>
      <c r="BO34" s="197" t="s">
        <v>5791</v>
      </c>
      <c r="BP34" s="197" t="s">
        <v>5791</v>
      </c>
      <c r="BQ34" s="197" t="s">
        <v>5791</v>
      </c>
      <c r="BR34" s="197" t="s">
        <v>5791</v>
      </c>
      <c r="BS34" s="197" t="s">
        <v>5791</v>
      </c>
      <c r="BT34" s="196" t="s">
        <v>5791</v>
      </c>
      <c r="BU34" s="197" t="s">
        <v>5791</v>
      </c>
      <c r="BV34" s="197" t="s">
        <v>5791</v>
      </c>
      <c r="BW34" s="197" t="s">
        <v>5791</v>
      </c>
      <c r="BX34" s="197" t="s">
        <v>5791</v>
      </c>
      <c r="BY34" s="197" t="s">
        <v>5791</v>
      </c>
      <c r="BZ34" s="212" t="s">
        <v>5791</v>
      </c>
      <c r="CA34" s="197" t="s">
        <v>5791</v>
      </c>
      <c r="CB34" s="197" t="s">
        <v>5791</v>
      </c>
      <c r="CC34" s="197" t="s">
        <v>5791</v>
      </c>
      <c r="CD34" s="197" t="s">
        <v>5791</v>
      </c>
      <c r="CE34" s="197" t="s">
        <v>5791</v>
      </c>
      <c r="CF34" s="212" t="s">
        <v>5791</v>
      </c>
      <c r="CG34" s="32" t="s">
        <v>4449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4449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4421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5791</v>
      </c>
      <c r="CZ34" s="202" t="s">
        <v>5791</v>
      </c>
      <c r="DA34" s="202" t="s">
        <v>5791</v>
      </c>
      <c r="DB34" s="203" t="s">
        <v>5791</v>
      </c>
      <c r="DC34" s="201" t="s">
        <v>5791</v>
      </c>
      <c r="DD34" s="202" t="s">
        <v>5791</v>
      </c>
      <c r="DE34" s="203" t="s">
        <v>5791</v>
      </c>
      <c r="DF34" s="274" t="s">
        <v>5791</v>
      </c>
      <c r="DG34" s="310">
        <v>10.9</v>
      </c>
      <c r="DH34" s="310">
        <v>900</v>
      </c>
      <c r="DI34" s="32">
        <v>990</v>
      </c>
      <c r="DJ34" s="310">
        <v>1000</v>
      </c>
      <c r="DK34" s="32">
        <v>1100</v>
      </c>
      <c r="DL34" s="60">
        <v>200000</v>
      </c>
      <c r="DM34" s="29" t="s">
        <v>4778</v>
      </c>
      <c r="DN34" s="310" t="s">
        <v>4435</v>
      </c>
      <c r="DO34" s="306" t="s">
        <v>4565</v>
      </c>
    </row>
    <row r="35" spans="1:119" ht="16.2" thickBot="1">
      <c r="A35" s="18">
        <v>30</v>
      </c>
      <c r="B35" s="349"/>
      <c r="C35" s="349"/>
      <c r="D35" s="360"/>
      <c r="E35" s="360"/>
      <c r="F35" s="349"/>
      <c r="G35" s="349"/>
      <c r="H35" s="349"/>
      <c r="I35" s="349"/>
      <c r="J35" s="286" t="s">
        <v>4469</v>
      </c>
      <c r="K35" s="301" t="s">
        <v>4383</v>
      </c>
      <c r="L35" s="310" t="s">
        <v>5791</v>
      </c>
      <c r="M35" s="301" t="s">
        <v>4508</v>
      </c>
      <c r="N35" s="310" t="s">
        <v>4707</v>
      </c>
      <c r="O35" s="18" t="s">
        <v>4506</v>
      </c>
      <c r="P35" s="310" t="s">
        <v>4420</v>
      </c>
      <c r="Q35" s="310" t="s">
        <v>4420</v>
      </c>
      <c r="R35" s="310" t="s">
        <v>4420</v>
      </c>
      <c r="S35" s="310" t="s">
        <v>5791</v>
      </c>
      <c r="T35" s="59" t="s">
        <v>4420</v>
      </c>
      <c r="U35" s="59" t="s">
        <v>5791</v>
      </c>
      <c r="V35" s="59" t="s">
        <v>4420</v>
      </c>
      <c r="W35" s="59" t="s">
        <v>5791</v>
      </c>
      <c r="X35" s="310" t="s">
        <v>4470</v>
      </c>
      <c r="Y35" s="310">
        <v>15</v>
      </c>
      <c r="Z35" s="32" t="s">
        <v>4558</v>
      </c>
      <c r="AA35" s="72">
        <v>10</v>
      </c>
      <c r="AB35" s="224">
        <v>0</v>
      </c>
      <c r="AC35" s="461">
        <v>0</v>
      </c>
      <c r="AD35" s="301" t="s">
        <v>3982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1" t="s">
        <v>3913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0">
        <v>50</v>
      </c>
      <c r="AW35" s="301" t="s">
        <v>5806</v>
      </c>
      <c r="AX35" s="310" t="s">
        <v>6129</v>
      </c>
      <c r="AY35" s="310" t="s">
        <v>6129</v>
      </c>
      <c r="AZ35" s="310">
        <v>22</v>
      </c>
      <c r="BA35" s="310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4420</v>
      </c>
      <c r="BH35" s="310" t="s">
        <v>4465</v>
      </c>
      <c r="BI35" s="310" t="s">
        <v>6204</v>
      </c>
      <c r="BJ35" s="310">
        <v>4</v>
      </c>
      <c r="BK35" s="310">
        <v>6</v>
      </c>
      <c r="BL35" s="196" t="s">
        <v>5791</v>
      </c>
      <c r="BM35" s="197" t="s">
        <v>5791</v>
      </c>
      <c r="BN35" s="197" t="s">
        <v>5791</v>
      </c>
      <c r="BO35" s="197" t="s">
        <v>5791</v>
      </c>
      <c r="BP35" s="197" t="s">
        <v>5791</v>
      </c>
      <c r="BQ35" s="197" t="s">
        <v>5791</v>
      </c>
      <c r="BR35" s="197" t="s">
        <v>5791</v>
      </c>
      <c r="BS35" s="197" t="s">
        <v>5791</v>
      </c>
      <c r="BT35" s="196" t="s">
        <v>5791</v>
      </c>
      <c r="BU35" s="197" t="s">
        <v>5791</v>
      </c>
      <c r="BV35" s="197" t="s">
        <v>5791</v>
      </c>
      <c r="BW35" s="197" t="s">
        <v>5791</v>
      </c>
      <c r="BX35" s="197" t="s">
        <v>5791</v>
      </c>
      <c r="BY35" s="197" t="s">
        <v>5791</v>
      </c>
      <c r="BZ35" s="212" t="s">
        <v>5791</v>
      </c>
      <c r="CA35" s="197" t="s">
        <v>5791</v>
      </c>
      <c r="CB35" s="197" t="s">
        <v>5791</v>
      </c>
      <c r="CC35" s="197" t="s">
        <v>5791</v>
      </c>
      <c r="CD35" s="197" t="s">
        <v>5791</v>
      </c>
      <c r="CE35" s="197" t="s">
        <v>5791</v>
      </c>
      <c r="CF35" s="212" t="s">
        <v>5791</v>
      </c>
      <c r="CG35" s="32" t="s">
        <v>4449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4449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4421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5791</v>
      </c>
      <c r="CZ35" s="202" t="s">
        <v>5791</v>
      </c>
      <c r="DA35" s="202" t="s">
        <v>5791</v>
      </c>
      <c r="DB35" s="203" t="s">
        <v>5791</v>
      </c>
      <c r="DC35" s="201" t="s">
        <v>5791</v>
      </c>
      <c r="DD35" s="202" t="s">
        <v>5791</v>
      </c>
      <c r="DE35" s="203" t="s">
        <v>5791</v>
      </c>
      <c r="DF35" s="274" t="s">
        <v>5791</v>
      </c>
      <c r="DG35" s="310">
        <v>10.9</v>
      </c>
      <c r="DH35" s="310">
        <v>900</v>
      </c>
      <c r="DI35" s="32">
        <v>990</v>
      </c>
      <c r="DJ35" s="310">
        <v>1000</v>
      </c>
      <c r="DK35" s="32">
        <v>1100</v>
      </c>
      <c r="DL35" s="60">
        <v>200000</v>
      </c>
      <c r="DM35" s="29" t="s">
        <v>4778</v>
      </c>
      <c r="DN35" s="10" t="s">
        <v>4435</v>
      </c>
      <c r="DO35" s="306" t="s">
        <v>4565</v>
      </c>
    </row>
    <row r="36" spans="1:119" ht="15.6" customHeight="1">
      <c r="A36" s="294">
        <v>31</v>
      </c>
      <c r="B36" s="348">
        <v>3</v>
      </c>
      <c r="C36" s="348">
        <v>1975</v>
      </c>
      <c r="D36" s="359" t="s">
        <v>4464</v>
      </c>
      <c r="E36" s="359" t="s">
        <v>4836</v>
      </c>
      <c r="F36" s="348">
        <v>12</v>
      </c>
      <c r="G36" s="348" t="s">
        <v>5897</v>
      </c>
      <c r="H36" s="348" t="s">
        <v>5896</v>
      </c>
      <c r="I36" s="348" t="s">
        <v>6218</v>
      </c>
      <c r="J36" s="284" t="s">
        <v>4402</v>
      </c>
      <c r="K36" s="300" t="s">
        <v>4383</v>
      </c>
      <c r="L36" s="309" t="s">
        <v>5791</v>
      </c>
      <c r="M36" s="300" t="s">
        <v>4507</v>
      </c>
      <c r="N36" s="309" t="s">
        <v>4700</v>
      </c>
      <c r="O36" s="17" t="s">
        <v>4506</v>
      </c>
      <c r="P36" s="309" t="s">
        <v>4420</v>
      </c>
      <c r="Q36" s="309" t="s">
        <v>4420</v>
      </c>
      <c r="R36" s="309" t="s">
        <v>4420</v>
      </c>
      <c r="S36" s="309" t="s">
        <v>5791</v>
      </c>
      <c r="T36" s="64" t="s">
        <v>4420</v>
      </c>
      <c r="U36" s="64" t="s">
        <v>5791</v>
      </c>
      <c r="V36" s="64" t="s">
        <v>4420</v>
      </c>
      <c r="W36" s="64" t="s">
        <v>5791</v>
      </c>
      <c r="X36" s="309" t="s">
        <v>4470</v>
      </c>
      <c r="Y36" s="309">
        <v>15</v>
      </c>
      <c r="Z36" s="30" t="s">
        <v>4558</v>
      </c>
      <c r="AA36" s="87">
        <v>10</v>
      </c>
      <c r="AB36" s="225">
        <v>0</v>
      </c>
      <c r="AC36" s="17">
        <v>0</v>
      </c>
      <c r="AD36" s="300" t="s">
        <v>3982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300" t="s">
        <v>3922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9">
        <f>(AT36-AK36)/2</f>
        <v>0</v>
      </c>
      <c r="AW36" s="300" t="s">
        <v>5806</v>
      </c>
      <c r="AX36" s="309" t="s">
        <v>6129</v>
      </c>
      <c r="AY36" s="16">
        <v>116</v>
      </c>
      <c r="AZ36" s="309">
        <v>24</v>
      </c>
      <c r="BA36" s="309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4420</v>
      </c>
      <c r="BH36" s="309" t="s">
        <v>4465</v>
      </c>
      <c r="BI36" s="309" t="s">
        <v>6204</v>
      </c>
      <c r="BJ36" s="309">
        <v>4</v>
      </c>
      <c r="BK36" s="309">
        <v>6</v>
      </c>
      <c r="BL36" s="194" t="s">
        <v>5791</v>
      </c>
      <c r="BM36" s="195" t="s">
        <v>5791</v>
      </c>
      <c r="BN36" s="195" t="s">
        <v>5791</v>
      </c>
      <c r="BO36" s="195" t="s">
        <v>5791</v>
      </c>
      <c r="BP36" s="195" t="s">
        <v>5791</v>
      </c>
      <c r="BQ36" s="195" t="s">
        <v>5791</v>
      </c>
      <c r="BR36" s="195" t="s">
        <v>5791</v>
      </c>
      <c r="BS36" s="195" t="s">
        <v>5791</v>
      </c>
      <c r="BT36" s="194" t="s">
        <v>5791</v>
      </c>
      <c r="BU36" s="195" t="s">
        <v>5791</v>
      </c>
      <c r="BV36" s="195" t="s">
        <v>5791</v>
      </c>
      <c r="BW36" s="195" t="s">
        <v>5791</v>
      </c>
      <c r="BX36" s="195" t="s">
        <v>5791</v>
      </c>
      <c r="BY36" s="195" t="s">
        <v>5791</v>
      </c>
      <c r="BZ36" s="213" t="s">
        <v>5791</v>
      </c>
      <c r="CA36" s="195" t="s">
        <v>5791</v>
      </c>
      <c r="CB36" s="195" t="s">
        <v>5791</v>
      </c>
      <c r="CC36" s="195" t="s">
        <v>5791</v>
      </c>
      <c r="CD36" s="195" t="s">
        <v>5791</v>
      </c>
      <c r="CE36" s="195" t="s">
        <v>5791</v>
      </c>
      <c r="CF36" s="213" t="s">
        <v>5791</v>
      </c>
      <c r="CG36" s="30" t="s">
        <v>4449</v>
      </c>
      <c r="CH36" s="71">
        <v>235</v>
      </c>
      <c r="CI36" s="16">
        <v>295.5</v>
      </c>
      <c r="CJ36" s="71">
        <v>360</v>
      </c>
      <c r="CK36" s="309">
        <v>419.5</v>
      </c>
      <c r="CL36" s="65">
        <v>200000</v>
      </c>
      <c r="CM36" s="105" t="s">
        <v>4449</v>
      </c>
      <c r="CN36" s="71">
        <v>235</v>
      </c>
      <c r="CO36" s="309">
        <v>321</v>
      </c>
      <c r="CP36" s="64">
        <v>360</v>
      </c>
      <c r="CQ36" s="309">
        <v>447</v>
      </c>
      <c r="CR36" s="65">
        <v>200000</v>
      </c>
      <c r="CS36" s="30" t="s">
        <v>4421</v>
      </c>
      <c r="CT36" s="64">
        <v>250</v>
      </c>
      <c r="CU36" s="309">
        <v>294</v>
      </c>
      <c r="CV36" s="64">
        <v>475</v>
      </c>
      <c r="CW36" s="309">
        <v>444</v>
      </c>
      <c r="CX36" s="75">
        <v>200000</v>
      </c>
      <c r="CY36" s="198" t="s">
        <v>5791</v>
      </c>
      <c r="CZ36" s="199" t="s">
        <v>5791</v>
      </c>
      <c r="DA36" s="199" t="s">
        <v>5791</v>
      </c>
      <c r="DB36" s="200" t="s">
        <v>5791</v>
      </c>
      <c r="DC36" s="198" t="s">
        <v>5791</v>
      </c>
      <c r="DD36" s="199" t="s">
        <v>5791</v>
      </c>
      <c r="DE36" s="200" t="s">
        <v>5791</v>
      </c>
      <c r="DF36" s="273" t="s">
        <v>5791</v>
      </c>
      <c r="DG36" s="309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4770</v>
      </c>
      <c r="DN36" s="309" t="s">
        <v>4435</v>
      </c>
      <c r="DO36" s="305" t="s">
        <v>4565</v>
      </c>
    </row>
    <row r="37" spans="1:119">
      <c r="A37" s="295">
        <v>32</v>
      </c>
      <c r="B37" s="349"/>
      <c r="C37" s="349"/>
      <c r="D37" s="360"/>
      <c r="E37" s="360"/>
      <c r="F37" s="349"/>
      <c r="G37" s="349"/>
      <c r="H37" s="349"/>
      <c r="I37" s="349"/>
      <c r="J37" s="286" t="s">
        <v>4403</v>
      </c>
      <c r="K37" s="301" t="s">
        <v>4383</v>
      </c>
      <c r="L37" s="310" t="s">
        <v>5791</v>
      </c>
      <c r="M37" s="301" t="s">
        <v>4507</v>
      </c>
      <c r="N37" s="310" t="s">
        <v>4700</v>
      </c>
      <c r="O37" s="18" t="s">
        <v>4506</v>
      </c>
      <c r="P37" s="310" t="s">
        <v>4420</v>
      </c>
      <c r="Q37" s="310" t="s">
        <v>4420</v>
      </c>
      <c r="R37" s="310" t="s">
        <v>4420</v>
      </c>
      <c r="S37" s="310" t="s">
        <v>5791</v>
      </c>
      <c r="T37" s="59" t="s">
        <v>4420</v>
      </c>
      <c r="U37" s="59" t="s">
        <v>5791</v>
      </c>
      <c r="V37" s="59" t="s">
        <v>4420</v>
      </c>
      <c r="W37" s="59" t="s">
        <v>5791</v>
      </c>
      <c r="X37" s="310" t="s">
        <v>4470</v>
      </c>
      <c r="Y37" s="310">
        <v>15</v>
      </c>
      <c r="Z37" s="32" t="s">
        <v>4558</v>
      </c>
      <c r="AA37" s="72">
        <v>10</v>
      </c>
      <c r="AB37" s="224">
        <v>0</v>
      </c>
      <c r="AC37" s="18">
        <v>0</v>
      </c>
      <c r="AD37" s="301" t="s">
        <v>3982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1" t="s">
        <v>3922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0">
        <v>50</v>
      </c>
      <c r="AW37" s="301" t="s">
        <v>5806</v>
      </c>
      <c r="AX37" s="310" t="s">
        <v>6129</v>
      </c>
      <c r="AY37" s="21">
        <v>127</v>
      </c>
      <c r="AZ37" s="310">
        <v>24</v>
      </c>
      <c r="BA37" s="310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4420</v>
      </c>
      <c r="BH37" s="310" t="s">
        <v>4465</v>
      </c>
      <c r="BI37" s="310" t="s">
        <v>6204</v>
      </c>
      <c r="BJ37" s="310">
        <v>4</v>
      </c>
      <c r="BK37" s="310">
        <v>6</v>
      </c>
      <c r="BL37" s="196" t="s">
        <v>5791</v>
      </c>
      <c r="BM37" s="197" t="s">
        <v>5791</v>
      </c>
      <c r="BN37" s="197" t="s">
        <v>5791</v>
      </c>
      <c r="BO37" s="197" t="s">
        <v>5791</v>
      </c>
      <c r="BP37" s="197" t="s">
        <v>5791</v>
      </c>
      <c r="BQ37" s="197" t="s">
        <v>5791</v>
      </c>
      <c r="BR37" s="197" t="s">
        <v>5791</v>
      </c>
      <c r="BS37" s="197" t="s">
        <v>5791</v>
      </c>
      <c r="BT37" s="196" t="s">
        <v>5791</v>
      </c>
      <c r="BU37" s="197" t="s">
        <v>5791</v>
      </c>
      <c r="BV37" s="197" t="s">
        <v>5791</v>
      </c>
      <c r="BW37" s="197" t="s">
        <v>5791</v>
      </c>
      <c r="BX37" s="197" t="s">
        <v>5791</v>
      </c>
      <c r="BY37" s="197" t="s">
        <v>5791</v>
      </c>
      <c r="BZ37" s="212" t="s">
        <v>5791</v>
      </c>
      <c r="CA37" s="197" t="s">
        <v>5791</v>
      </c>
      <c r="CB37" s="197" t="s">
        <v>5791</v>
      </c>
      <c r="CC37" s="197" t="s">
        <v>5791</v>
      </c>
      <c r="CD37" s="197" t="s">
        <v>5791</v>
      </c>
      <c r="CE37" s="197" t="s">
        <v>5791</v>
      </c>
      <c r="CF37" s="212" t="s">
        <v>5791</v>
      </c>
      <c r="CG37" s="32" t="s">
        <v>4449</v>
      </c>
      <c r="CH37" s="46">
        <v>235</v>
      </c>
      <c r="CI37" s="21">
        <v>295.5</v>
      </c>
      <c r="CJ37" s="46">
        <v>360</v>
      </c>
      <c r="CK37" s="310">
        <v>419.5</v>
      </c>
      <c r="CL37" s="66">
        <v>200000</v>
      </c>
      <c r="CM37" s="106" t="s">
        <v>4449</v>
      </c>
      <c r="CN37" s="46">
        <v>235</v>
      </c>
      <c r="CO37" s="310">
        <v>321</v>
      </c>
      <c r="CP37" s="59">
        <v>360</v>
      </c>
      <c r="CQ37" s="310">
        <v>447</v>
      </c>
      <c r="CR37" s="66">
        <v>200000</v>
      </c>
      <c r="CS37" s="32" t="s">
        <v>4421</v>
      </c>
      <c r="CT37" s="59">
        <v>250</v>
      </c>
      <c r="CU37" s="310">
        <v>294</v>
      </c>
      <c r="CV37" s="59">
        <v>475</v>
      </c>
      <c r="CW37" s="310">
        <v>444</v>
      </c>
      <c r="CX37" s="60">
        <v>200000</v>
      </c>
      <c r="CY37" s="201" t="s">
        <v>5791</v>
      </c>
      <c r="CZ37" s="202" t="s">
        <v>5791</v>
      </c>
      <c r="DA37" s="202" t="s">
        <v>5791</v>
      </c>
      <c r="DB37" s="203" t="s">
        <v>5791</v>
      </c>
      <c r="DC37" s="201" t="s">
        <v>5791</v>
      </c>
      <c r="DD37" s="202" t="s">
        <v>5791</v>
      </c>
      <c r="DE37" s="203" t="s">
        <v>5791</v>
      </c>
      <c r="DF37" s="274" t="s">
        <v>5791</v>
      </c>
      <c r="DG37" s="310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4770</v>
      </c>
      <c r="DN37" s="310" t="s">
        <v>4435</v>
      </c>
      <c r="DO37" s="306" t="s">
        <v>4565</v>
      </c>
    </row>
    <row r="38" spans="1:119">
      <c r="A38" s="295">
        <v>33</v>
      </c>
      <c r="B38" s="349"/>
      <c r="C38" s="349"/>
      <c r="D38" s="360"/>
      <c r="E38" s="360"/>
      <c r="F38" s="349"/>
      <c r="G38" s="349"/>
      <c r="H38" s="349"/>
      <c r="I38" s="349"/>
      <c r="J38" s="286" t="s">
        <v>4404</v>
      </c>
      <c r="K38" s="301" t="s">
        <v>4383</v>
      </c>
      <c r="L38" s="310" t="s">
        <v>5791</v>
      </c>
      <c r="M38" s="301" t="s">
        <v>4507</v>
      </c>
      <c r="N38" s="310" t="s">
        <v>4700</v>
      </c>
      <c r="O38" s="18" t="s">
        <v>4506</v>
      </c>
      <c r="P38" s="310" t="s">
        <v>4420</v>
      </c>
      <c r="Q38" s="310" t="s">
        <v>4420</v>
      </c>
      <c r="R38" s="310" t="s">
        <v>6165</v>
      </c>
      <c r="S38" s="310">
        <v>10</v>
      </c>
      <c r="T38" s="59" t="s">
        <v>4420</v>
      </c>
      <c r="U38" s="59" t="s">
        <v>5791</v>
      </c>
      <c r="V38" s="59" t="s">
        <v>4420</v>
      </c>
      <c r="W38" s="59" t="s">
        <v>5791</v>
      </c>
      <c r="X38" s="310" t="s">
        <v>4420</v>
      </c>
      <c r="Y38" s="310" t="s">
        <v>5791</v>
      </c>
      <c r="Z38" s="32" t="s">
        <v>4558</v>
      </c>
      <c r="AA38" s="72">
        <v>10</v>
      </c>
      <c r="AB38" s="224">
        <v>0</v>
      </c>
      <c r="AC38" s="18">
        <v>0</v>
      </c>
      <c r="AD38" s="301" t="s">
        <v>3982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1" t="s">
        <v>3922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0">
        <v>0</v>
      </c>
      <c r="AW38" s="301" t="s">
        <v>5806</v>
      </c>
      <c r="AX38" s="310" t="s">
        <v>6129</v>
      </c>
      <c r="AY38" s="21">
        <v>65</v>
      </c>
      <c r="AZ38" s="310">
        <v>24</v>
      </c>
      <c r="BA38" s="310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4420</v>
      </c>
      <c r="BH38" s="310" t="s">
        <v>6205</v>
      </c>
      <c r="BI38" s="310" t="s">
        <v>6204</v>
      </c>
      <c r="BJ38" s="310">
        <v>6</v>
      </c>
      <c r="BK38" s="310">
        <v>8</v>
      </c>
      <c r="BL38" s="196" t="s">
        <v>5791</v>
      </c>
      <c r="BM38" s="197" t="s">
        <v>5791</v>
      </c>
      <c r="BN38" s="197" t="s">
        <v>5791</v>
      </c>
      <c r="BO38" s="197" t="s">
        <v>5791</v>
      </c>
      <c r="BP38" s="197" t="s">
        <v>5791</v>
      </c>
      <c r="BQ38" s="197" t="s">
        <v>5791</v>
      </c>
      <c r="BR38" s="197" t="s">
        <v>5791</v>
      </c>
      <c r="BS38" s="197" t="s">
        <v>5791</v>
      </c>
      <c r="BT38" s="196" t="s">
        <v>5791</v>
      </c>
      <c r="BU38" s="197" t="s">
        <v>5791</v>
      </c>
      <c r="BV38" s="197" t="s">
        <v>5791</v>
      </c>
      <c r="BW38" s="197" t="s">
        <v>5791</v>
      </c>
      <c r="BX38" s="197" t="s">
        <v>5791</v>
      </c>
      <c r="BY38" s="197" t="s">
        <v>5791</v>
      </c>
      <c r="BZ38" s="212" t="s">
        <v>5791</v>
      </c>
      <c r="CA38" s="197" t="s">
        <v>5791</v>
      </c>
      <c r="CB38" s="197" t="s">
        <v>5791</v>
      </c>
      <c r="CC38" s="197" t="s">
        <v>5791</v>
      </c>
      <c r="CD38" s="197" t="s">
        <v>5791</v>
      </c>
      <c r="CE38" s="197" t="s">
        <v>5791</v>
      </c>
      <c r="CF38" s="212" t="s">
        <v>5791</v>
      </c>
      <c r="CG38" s="32" t="s">
        <v>4449</v>
      </c>
      <c r="CH38" s="46">
        <v>235</v>
      </c>
      <c r="CI38" s="21">
        <v>295.5</v>
      </c>
      <c r="CJ38" s="46">
        <v>360</v>
      </c>
      <c r="CK38" s="310">
        <v>419.5</v>
      </c>
      <c r="CL38" s="66">
        <v>200000</v>
      </c>
      <c r="CM38" s="106" t="s">
        <v>4449</v>
      </c>
      <c r="CN38" s="46">
        <v>235</v>
      </c>
      <c r="CO38" s="310">
        <v>321</v>
      </c>
      <c r="CP38" s="59">
        <v>360</v>
      </c>
      <c r="CQ38" s="310">
        <v>447</v>
      </c>
      <c r="CR38" s="66">
        <v>200000</v>
      </c>
      <c r="CS38" s="32" t="s">
        <v>4421</v>
      </c>
      <c r="CT38" s="59">
        <v>250</v>
      </c>
      <c r="CU38" s="310">
        <v>294</v>
      </c>
      <c r="CV38" s="59">
        <v>475</v>
      </c>
      <c r="CW38" s="310">
        <v>444</v>
      </c>
      <c r="CX38" s="60">
        <v>200000</v>
      </c>
      <c r="CY38" s="201" t="s">
        <v>5791</v>
      </c>
      <c r="CZ38" s="202" t="s">
        <v>5791</v>
      </c>
      <c r="DA38" s="202" t="s">
        <v>5791</v>
      </c>
      <c r="DB38" s="203" t="s">
        <v>5791</v>
      </c>
      <c r="DC38" s="201" t="s">
        <v>5791</v>
      </c>
      <c r="DD38" s="202" t="s">
        <v>5791</v>
      </c>
      <c r="DE38" s="203" t="s">
        <v>5791</v>
      </c>
      <c r="DF38" s="274" t="s">
        <v>5791</v>
      </c>
      <c r="DG38" s="310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4572</v>
      </c>
      <c r="DN38" s="310" t="s">
        <v>4435</v>
      </c>
      <c r="DO38" s="306" t="s">
        <v>4565</v>
      </c>
    </row>
    <row r="39" spans="1:119">
      <c r="A39" s="295">
        <v>34</v>
      </c>
      <c r="B39" s="349"/>
      <c r="C39" s="349"/>
      <c r="D39" s="360"/>
      <c r="E39" s="360"/>
      <c r="F39" s="349"/>
      <c r="G39" s="349"/>
      <c r="H39" s="349"/>
      <c r="I39" s="349"/>
      <c r="J39" s="286" t="s">
        <v>4405</v>
      </c>
      <c r="K39" s="301" t="s">
        <v>4383</v>
      </c>
      <c r="L39" s="310" t="s">
        <v>5791</v>
      </c>
      <c r="M39" s="301" t="s">
        <v>4507</v>
      </c>
      <c r="N39" s="310" t="s">
        <v>4700</v>
      </c>
      <c r="O39" s="18" t="s">
        <v>4506</v>
      </c>
      <c r="P39" s="310" t="s">
        <v>4420</v>
      </c>
      <c r="Q39" s="310" t="s">
        <v>4420</v>
      </c>
      <c r="R39" s="310" t="s">
        <v>6165</v>
      </c>
      <c r="S39" s="310">
        <v>10</v>
      </c>
      <c r="T39" s="59" t="s">
        <v>4420</v>
      </c>
      <c r="U39" s="59" t="s">
        <v>5791</v>
      </c>
      <c r="V39" s="59" t="s">
        <v>4420</v>
      </c>
      <c r="W39" s="59" t="s">
        <v>5791</v>
      </c>
      <c r="X39" s="310" t="s">
        <v>4470</v>
      </c>
      <c r="Y39" s="310">
        <v>15</v>
      </c>
      <c r="Z39" s="32" t="s">
        <v>4558</v>
      </c>
      <c r="AA39" s="72">
        <v>10</v>
      </c>
      <c r="AB39" s="224">
        <v>0</v>
      </c>
      <c r="AC39" s="18">
        <v>0</v>
      </c>
      <c r="AD39" s="301" t="s">
        <v>3982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1" t="s">
        <v>3922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0">
        <v>0</v>
      </c>
      <c r="AW39" s="301" t="s">
        <v>5806</v>
      </c>
      <c r="AX39" s="310" t="s">
        <v>6129</v>
      </c>
      <c r="AY39" s="21">
        <v>65</v>
      </c>
      <c r="AZ39" s="310">
        <v>24</v>
      </c>
      <c r="BA39" s="310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4420</v>
      </c>
      <c r="BH39" s="310" t="s">
        <v>4465</v>
      </c>
      <c r="BI39" s="310" t="s">
        <v>6204</v>
      </c>
      <c r="BJ39" s="310">
        <v>4</v>
      </c>
      <c r="BK39" s="310">
        <v>6</v>
      </c>
      <c r="BL39" s="196" t="s">
        <v>5791</v>
      </c>
      <c r="BM39" s="197" t="s">
        <v>5791</v>
      </c>
      <c r="BN39" s="197" t="s">
        <v>5791</v>
      </c>
      <c r="BO39" s="197" t="s">
        <v>5791</v>
      </c>
      <c r="BP39" s="197" t="s">
        <v>5791</v>
      </c>
      <c r="BQ39" s="197" t="s">
        <v>5791</v>
      </c>
      <c r="BR39" s="197" t="s">
        <v>5791</v>
      </c>
      <c r="BS39" s="197" t="s">
        <v>5791</v>
      </c>
      <c r="BT39" s="196" t="s">
        <v>5791</v>
      </c>
      <c r="BU39" s="197" t="s">
        <v>5791</v>
      </c>
      <c r="BV39" s="197" t="s">
        <v>5791</v>
      </c>
      <c r="BW39" s="197" t="s">
        <v>5791</v>
      </c>
      <c r="BX39" s="197" t="s">
        <v>5791</v>
      </c>
      <c r="BY39" s="197" t="s">
        <v>5791</v>
      </c>
      <c r="BZ39" s="212" t="s">
        <v>5791</v>
      </c>
      <c r="CA39" s="197" t="s">
        <v>5791</v>
      </c>
      <c r="CB39" s="197" t="s">
        <v>5791</v>
      </c>
      <c r="CC39" s="197" t="s">
        <v>5791</v>
      </c>
      <c r="CD39" s="197" t="s">
        <v>5791</v>
      </c>
      <c r="CE39" s="197" t="s">
        <v>5791</v>
      </c>
      <c r="CF39" s="212" t="s">
        <v>5791</v>
      </c>
      <c r="CG39" s="32" t="s">
        <v>4449</v>
      </c>
      <c r="CH39" s="46">
        <v>235</v>
      </c>
      <c r="CI39" s="21">
        <v>295.5</v>
      </c>
      <c r="CJ39" s="46">
        <v>360</v>
      </c>
      <c r="CK39" s="310">
        <v>419.5</v>
      </c>
      <c r="CL39" s="66">
        <v>200000</v>
      </c>
      <c r="CM39" s="106" t="s">
        <v>4449</v>
      </c>
      <c r="CN39" s="46">
        <v>235</v>
      </c>
      <c r="CO39" s="310">
        <v>321</v>
      </c>
      <c r="CP39" s="59">
        <v>360</v>
      </c>
      <c r="CQ39" s="310">
        <v>447</v>
      </c>
      <c r="CR39" s="66">
        <v>200000</v>
      </c>
      <c r="CS39" s="32" t="s">
        <v>4421</v>
      </c>
      <c r="CT39" s="59">
        <v>250</v>
      </c>
      <c r="CU39" s="310">
        <v>294</v>
      </c>
      <c r="CV39" s="59">
        <v>475</v>
      </c>
      <c r="CW39" s="310">
        <v>444</v>
      </c>
      <c r="CX39" s="60">
        <v>200000</v>
      </c>
      <c r="CY39" s="201" t="s">
        <v>5791</v>
      </c>
      <c r="CZ39" s="202" t="s">
        <v>5791</v>
      </c>
      <c r="DA39" s="202" t="s">
        <v>5791</v>
      </c>
      <c r="DB39" s="203" t="s">
        <v>5791</v>
      </c>
      <c r="DC39" s="201" t="s">
        <v>5791</v>
      </c>
      <c r="DD39" s="202" t="s">
        <v>5791</v>
      </c>
      <c r="DE39" s="203" t="s">
        <v>5791</v>
      </c>
      <c r="DF39" s="274" t="s">
        <v>5791</v>
      </c>
      <c r="DG39" s="310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4572</v>
      </c>
      <c r="DN39" s="310" t="s">
        <v>4435</v>
      </c>
      <c r="DO39" s="306" t="s">
        <v>4565</v>
      </c>
    </row>
    <row r="40" spans="1:119">
      <c r="A40" s="295">
        <v>35</v>
      </c>
      <c r="B40" s="349"/>
      <c r="C40" s="349"/>
      <c r="D40" s="360"/>
      <c r="E40" s="360"/>
      <c r="F40" s="349"/>
      <c r="G40" s="349"/>
      <c r="H40" s="349"/>
      <c r="I40" s="349"/>
      <c r="J40" s="286" t="s">
        <v>4406</v>
      </c>
      <c r="K40" s="301" t="s">
        <v>4383</v>
      </c>
      <c r="L40" s="310" t="s">
        <v>5791</v>
      </c>
      <c r="M40" s="301" t="s">
        <v>4507</v>
      </c>
      <c r="N40" s="310" t="s">
        <v>4700</v>
      </c>
      <c r="O40" s="18" t="s">
        <v>4506</v>
      </c>
      <c r="P40" s="310" t="s">
        <v>4420</v>
      </c>
      <c r="Q40" s="310" t="s">
        <v>4420</v>
      </c>
      <c r="R40" s="310" t="s">
        <v>4420</v>
      </c>
      <c r="S40" s="310" t="s">
        <v>5791</v>
      </c>
      <c r="T40" s="59" t="s">
        <v>4420</v>
      </c>
      <c r="U40" s="59" t="s">
        <v>5791</v>
      </c>
      <c r="V40" s="59" t="s">
        <v>4420</v>
      </c>
      <c r="W40" s="59" t="s">
        <v>5791</v>
      </c>
      <c r="X40" s="310" t="s">
        <v>4420</v>
      </c>
      <c r="Y40" s="310" t="s">
        <v>5791</v>
      </c>
      <c r="Z40" s="32" t="s">
        <v>4558</v>
      </c>
      <c r="AA40" s="72">
        <v>10</v>
      </c>
      <c r="AB40" s="224">
        <v>0</v>
      </c>
      <c r="AC40" s="18">
        <v>0</v>
      </c>
      <c r="AD40" s="301" t="s">
        <v>3982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1" t="s">
        <v>3922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0">
        <v>50</v>
      </c>
      <c r="AW40" s="301" t="s">
        <v>5806</v>
      </c>
      <c r="AX40" s="310" t="s">
        <v>6129</v>
      </c>
      <c r="AY40" s="21">
        <v>85</v>
      </c>
      <c r="AZ40" s="310">
        <v>24</v>
      </c>
      <c r="BA40" s="310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4420</v>
      </c>
      <c r="BH40" s="310" t="s">
        <v>4465</v>
      </c>
      <c r="BI40" s="310" t="s">
        <v>6204</v>
      </c>
      <c r="BJ40" s="310">
        <v>4</v>
      </c>
      <c r="BK40" s="310">
        <v>6</v>
      </c>
      <c r="BL40" s="196" t="s">
        <v>5791</v>
      </c>
      <c r="BM40" s="197" t="s">
        <v>5791</v>
      </c>
      <c r="BN40" s="197" t="s">
        <v>5791</v>
      </c>
      <c r="BO40" s="197" t="s">
        <v>5791</v>
      </c>
      <c r="BP40" s="197" t="s">
        <v>5791</v>
      </c>
      <c r="BQ40" s="197" t="s">
        <v>5791</v>
      </c>
      <c r="BR40" s="197" t="s">
        <v>5791</v>
      </c>
      <c r="BS40" s="197" t="s">
        <v>5791</v>
      </c>
      <c r="BT40" s="196" t="s">
        <v>5791</v>
      </c>
      <c r="BU40" s="197" t="s">
        <v>5791</v>
      </c>
      <c r="BV40" s="197" t="s">
        <v>5791</v>
      </c>
      <c r="BW40" s="197" t="s">
        <v>5791</v>
      </c>
      <c r="BX40" s="197" t="s">
        <v>5791</v>
      </c>
      <c r="BY40" s="197" t="s">
        <v>5791</v>
      </c>
      <c r="BZ40" s="212" t="s">
        <v>5791</v>
      </c>
      <c r="CA40" s="197" t="s">
        <v>5791</v>
      </c>
      <c r="CB40" s="197" t="s">
        <v>5791</v>
      </c>
      <c r="CC40" s="197" t="s">
        <v>5791</v>
      </c>
      <c r="CD40" s="197" t="s">
        <v>5791</v>
      </c>
      <c r="CE40" s="197" t="s">
        <v>5791</v>
      </c>
      <c r="CF40" s="212" t="s">
        <v>5791</v>
      </c>
      <c r="CG40" s="32" t="s">
        <v>4449</v>
      </c>
      <c r="CH40" s="46">
        <v>235</v>
      </c>
      <c r="CI40" s="21">
        <v>295.5</v>
      </c>
      <c r="CJ40" s="46">
        <v>360</v>
      </c>
      <c r="CK40" s="310">
        <v>419.5</v>
      </c>
      <c r="CL40" s="66">
        <v>200000</v>
      </c>
      <c r="CM40" s="106" t="s">
        <v>4449</v>
      </c>
      <c r="CN40" s="46">
        <v>235</v>
      </c>
      <c r="CO40" s="310">
        <v>321</v>
      </c>
      <c r="CP40" s="59">
        <v>360</v>
      </c>
      <c r="CQ40" s="310">
        <v>447</v>
      </c>
      <c r="CR40" s="66">
        <v>200000</v>
      </c>
      <c r="CS40" s="32" t="s">
        <v>4421</v>
      </c>
      <c r="CT40" s="59">
        <v>250</v>
      </c>
      <c r="CU40" s="310">
        <v>294</v>
      </c>
      <c r="CV40" s="59">
        <v>475</v>
      </c>
      <c r="CW40" s="310">
        <v>444</v>
      </c>
      <c r="CX40" s="60">
        <v>200000</v>
      </c>
      <c r="CY40" s="201" t="s">
        <v>5791</v>
      </c>
      <c r="CZ40" s="202" t="s">
        <v>5791</v>
      </c>
      <c r="DA40" s="202" t="s">
        <v>5791</v>
      </c>
      <c r="DB40" s="203" t="s">
        <v>5791</v>
      </c>
      <c r="DC40" s="201" t="s">
        <v>5791</v>
      </c>
      <c r="DD40" s="202" t="s">
        <v>5791</v>
      </c>
      <c r="DE40" s="203" t="s">
        <v>5791</v>
      </c>
      <c r="DF40" s="274" t="s">
        <v>5791</v>
      </c>
      <c r="DG40" s="310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4770</v>
      </c>
      <c r="DN40" s="310" t="s">
        <v>4435</v>
      </c>
      <c r="DO40" s="306" t="s">
        <v>4565</v>
      </c>
    </row>
    <row r="41" spans="1:119">
      <c r="A41" s="295">
        <v>36</v>
      </c>
      <c r="B41" s="349"/>
      <c r="C41" s="349"/>
      <c r="D41" s="360"/>
      <c r="E41" s="360"/>
      <c r="F41" s="349"/>
      <c r="G41" s="349"/>
      <c r="H41" s="349"/>
      <c r="I41" s="349"/>
      <c r="J41" s="286" t="s">
        <v>4407</v>
      </c>
      <c r="K41" s="301" t="s">
        <v>4383</v>
      </c>
      <c r="L41" s="310" t="s">
        <v>5791</v>
      </c>
      <c r="M41" s="301" t="s">
        <v>4507</v>
      </c>
      <c r="N41" s="310" t="s">
        <v>4700</v>
      </c>
      <c r="O41" s="18" t="s">
        <v>4506</v>
      </c>
      <c r="P41" s="310" t="s">
        <v>4420</v>
      </c>
      <c r="Q41" s="310" t="s">
        <v>4420</v>
      </c>
      <c r="R41" s="310" t="s">
        <v>4420</v>
      </c>
      <c r="S41" s="310" t="s">
        <v>5791</v>
      </c>
      <c r="T41" s="59" t="s">
        <v>4420</v>
      </c>
      <c r="U41" s="59" t="s">
        <v>5791</v>
      </c>
      <c r="V41" s="59" t="s">
        <v>4420</v>
      </c>
      <c r="W41" s="59" t="s">
        <v>5791</v>
      </c>
      <c r="X41" s="310" t="s">
        <v>4420</v>
      </c>
      <c r="Y41" s="310" t="s">
        <v>5791</v>
      </c>
      <c r="Z41" s="32" t="s">
        <v>4558</v>
      </c>
      <c r="AA41" s="72">
        <v>10</v>
      </c>
      <c r="AB41" s="224">
        <v>0</v>
      </c>
      <c r="AC41" s="18">
        <v>0</v>
      </c>
      <c r="AD41" s="301" t="s">
        <v>3982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1" t="s">
        <v>3922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0">
        <v>0</v>
      </c>
      <c r="AW41" s="301" t="s">
        <v>5806</v>
      </c>
      <c r="AX41" s="310" t="s">
        <v>6129</v>
      </c>
      <c r="AY41" s="21">
        <v>78.5</v>
      </c>
      <c r="AZ41" s="310">
        <v>24</v>
      </c>
      <c r="BA41" s="310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4420</v>
      </c>
      <c r="BH41" s="310" t="s">
        <v>4465</v>
      </c>
      <c r="BI41" s="310" t="s">
        <v>6204</v>
      </c>
      <c r="BJ41" s="310">
        <v>4</v>
      </c>
      <c r="BK41" s="310">
        <v>6</v>
      </c>
      <c r="BL41" s="196" t="s">
        <v>5791</v>
      </c>
      <c r="BM41" s="197" t="s">
        <v>5791</v>
      </c>
      <c r="BN41" s="197" t="s">
        <v>5791</v>
      </c>
      <c r="BO41" s="197" t="s">
        <v>5791</v>
      </c>
      <c r="BP41" s="197" t="s">
        <v>5791</v>
      </c>
      <c r="BQ41" s="197" t="s">
        <v>5791</v>
      </c>
      <c r="BR41" s="197" t="s">
        <v>5791</v>
      </c>
      <c r="BS41" s="197" t="s">
        <v>5791</v>
      </c>
      <c r="BT41" s="196" t="s">
        <v>5791</v>
      </c>
      <c r="BU41" s="197" t="s">
        <v>5791</v>
      </c>
      <c r="BV41" s="197" t="s">
        <v>5791</v>
      </c>
      <c r="BW41" s="197" t="s">
        <v>5791</v>
      </c>
      <c r="BX41" s="197" t="s">
        <v>5791</v>
      </c>
      <c r="BY41" s="197" t="s">
        <v>5791</v>
      </c>
      <c r="BZ41" s="212" t="s">
        <v>5791</v>
      </c>
      <c r="CA41" s="197" t="s">
        <v>5791</v>
      </c>
      <c r="CB41" s="197" t="s">
        <v>5791</v>
      </c>
      <c r="CC41" s="197" t="s">
        <v>5791</v>
      </c>
      <c r="CD41" s="197" t="s">
        <v>5791</v>
      </c>
      <c r="CE41" s="197" t="s">
        <v>5791</v>
      </c>
      <c r="CF41" s="212" t="s">
        <v>5791</v>
      </c>
      <c r="CG41" s="32" t="s">
        <v>4449</v>
      </c>
      <c r="CH41" s="46">
        <v>235</v>
      </c>
      <c r="CI41" s="21">
        <v>295.5</v>
      </c>
      <c r="CJ41" s="46">
        <v>360</v>
      </c>
      <c r="CK41" s="310">
        <v>419.5</v>
      </c>
      <c r="CL41" s="66">
        <v>200000</v>
      </c>
      <c r="CM41" s="106" t="s">
        <v>4449</v>
      </c>
      <c r="CN41" s="46">
        <v>235</v>
      </c>
      <c r="CO41" s="310">
        <v>321</v>
      </c>
      <c r="CP41" s="59">
        <v>360</v>
      </c>
      <c r="CQ41" s="310">
        <v>447</v>
      </c>
      <c r="CR41" s="66">
        <v>200000</v>
      </c>
      <c r="CS41" s="32" t="s">
        <v>4421</v>
      </c>
      <c r="CT41" s="59">
        <v>250</v>
      </c>
      <c r="CU41" s="310">
        <v>294</v>
      </c>
      <c r="CV41" s="59">
        <v>475</v>
      </c>
      <c r="CW41" s="310">
        <v>444</v>
      </c>
      <c r="CX41" s="60">
        <v>200000</v>
      </c>
      <c r="CY41" s="201" t="s">
        <v>5791</v>
      </c>
      <c r="CZ41" s="202" t="s">
        <v>5791</v>
      </c>
      <c r="DA41" s="202" t="s">
        <v>5791</v>
      </c>
      <c r="DB41" s="203" t="s">
        <v>5791</v>
      </c>
      <c r="DC41" s="201" t="s">
        <v>5791</v>
      </c>
      <c r="DD41" s="202" t="s">
        <v>5791</v>
      </c>
      <c r="DE41" s="203" t="s">
        <v>5791</v>
      </c>
      <c r="DF41" s="274" t="s">
        <v>5791</v>
      </c>
      <c r="DG41" s="310">
        <v>8.8000000000000007</v>
      </c>
      <c r="DH41" s="310">
        <v>640</v>
      </c>
      <c r="DI41" s="32">
        <v>730</v>
      </c>
      <c r="DJ41" s="310">
        <v>800</v>
      </c>
      <c r="DK41" s="32">
        <v>940</v>
      </c>
      <c r="DL41" s="60">
        <v>200000</v>
      </c>
      <c r="DM41" s="29" t="s">
        <v>4770</v>
      </c>
      <c r="DN41" s="310" t="s">
        <v>4435</v>
      </c>
      <c r="DO41" s="306" t="s">
        <v>4565</v>
      </c>
    </row>
    <row r="42" spans="1:119">
      <c r="A42" s="295">
        <v>37</v>
      </c>
      <c r="B42" s="349"/>
      <c r="C42" s="349"/>
      <c r="D42" s="360"/>
      <c r="E42" s="360"/>
      <c r="F42" s="349"/>
      <c r="G42" s="349"/>
      <c r="H42" s="349"/>
      <c r="I42" s="349"/>
      <c r="J42" s="286" t="s">
        <v>4408</v>
      </c>
      <c r="K42" s="301" t="s">
        <v>4383</v>
      </c>
      <c r="L42" s="310" t="s">
        <v>5791</v>
      </c>
      <c r="M42" s="301" t="s">
        <v>4507</v>
      </c>
      <c r="N42" s="310" t="s">
        <v>4700</v>
      </c>
      <c r="O42" s="18" t="s">
        <v>4506</v>
      </c>
      <c r="P42" s="310" t="s">
        <v>4420</v>
      </c>
      <c r="Q42" s="310" t="s">
        <v>4420</v>
      </c>
      <c r="R42" s="310" t="s">
        <v>4420</v>
      </c>
      <c r="S42" s="310" t="s">
        <v>5791</v>
      </c>
      <c r="T42" s="59" t="s">
        <v>4420</v>
      </c>
      <c r="U42" s="59" t="s">
        <v>5791</v>
      </c>
      <c r="V42" s="59" t="s">
        <v>4420</v>
      </c>
      <c r="W42" s="59" t="s">
        <v>5791</v>
      </c>
      <c r="X42" s="310" t="s">
        <v>4470</v>
      </c>
      <c r="Y42" s="310">
        <v>15</v>
      </c>
      <c r="Z42" s="32" t="s">
        <v>4558</v>
      </c>
      <c r="AA42" s="72">
        <v>10</v>
      </c>
      <c r="AB42" s="224">
        <v>0</v>
      </c>
      <c r="AC42" s="18">
        <v>0</v>
      </c>
      <c r="AD42" s="301" t="s">
        <v>3982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1" t="s">
        <v>3913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0">
        <v>0</v>
      </c>
      <c r="AW42" s="301" t="s">
        <v>5806</v>
      </c>
      <c r="AX42" s="310" t="s">
        <v>6129</v>
      </c>
      <c r="AY42" s="21">
        <v>54</v>
      </c>
      <c r="AZ42" s="310">
        <v>24</v>
      </c>
      <c r="BA42" s="310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4420</v>
      </c>
      <c r="BH42" s="310" t="s">
        <v>4465</v>
      </c>
      <c r="BI42" s="310" t="s">
        <v>6204</v>
      </c>
      <c r="BJ42" s="310">
        <v>4</v>
      </c>
      <c r="BK42" s="310">
        <v>6</v>
      </c>
      <c r="BL42" s="196" t="s">
        <v>5791</v>
      </c>
      <c r="BM42" s="197" t="s">
        <v>5791</v>
      </c>
      <c r="BN42" s="197" t="s">
        <v>5791</v>
      </c>
      <c r="BO42" s="197" t="s">
        <v>5791</v>
      </c>
      <c r="BP42" s="197" t="s">
        <v>5791</v>
      </c>
      <c r="BQ42" s="197" t="s">
        <v>5791</v>
      </c>
      <c r="BR42" s="197" t="s">
        <v>5791</v>
      </c>
      <c r="BS42" s="197" t="s">
        <v>5791</v>
      </c>
      <c r="BT42" s="196" t="s">
        <v>5791</v>
      </c>
      <c r="BU42" s="197" t="s">
        <v>5791</v>
      </c>
      <c r="BV42" s="197" t="s">
        <v>5791</v>
      </c>
      <c r="BW42" s="197" t="s">
        <v>5791</v>
      </c>
      <c r="BX42" s="197" t="s">
        <v>5791</v>
      </c>
      <c r="BY42" s="197" t="s">
        <v>5791</v>
      </c>
      <c r="BZ42" s="212" t="s">
        <v>5791</v>
      </c>
      <c r="CA42" s="197" t="s">
        <v>5791</v>
      </c>
      <c r="CB42" s="197" t="s">
        <v>5791</v>
      </c>
      <c r="CC42" s="197" t="s">
        <v>5791</v>
      </c>
      <c r="CD42" s="197" t="s">
        <v>5791</v>
      </c>
      <c r="CE42" s="197" t="s">
        <v>5791</v>
      </c>
      <c r="CF42" s="212" t="s">
        <v>5791</v>
      </c>
      <c r="CG42" s="32" t="s">
        <v>4449</v>
      </c>
      <c r="CH42" s="46">
        <v>235</v>
      </c>
      <c r="CI42" s="21">
        <v>295.5</v>
      </c>
      <c r="CJ42" s="46">
        <v>360</v>
      </c>
      <c r="CK42" s="310">
        <v>419.5</v>
      </c>
      <c r="CL42" s="66">
        <v>200000</v>
      </c>
      <c r="CM42" s="106" t="s">
        <v>4449</v>
      </c>
      <c r="CN42" s="46">
        <v>235</v>
      </c>
      <c r="CO42" s="310">
        <v>321</v>
      </c>
      <c r="CP42" s="59">
        <v>360</v>
      </c>
      <c r="CQ42" s="310">
        <v>447</v>
      </c>
      <c r="CR42" s="66">
        <v>200000</v>
      </c>
      <c r="CS42" s="32" t="s">
        <v>4421</v>
      </c>
      <c r="CT42" s="59">
        <v>250</v>
      </c>
      <c r="CU42" s="310">
        <v>294</v>
      </c>
      <c r="CV42" s="59">
        <v>475</v>
      </c>
      <c r="CW42" s="310">
        <v>444</v>
      </c>
      <c r="CX42" s="60">
        <v>200000</v>
      </c>
      <c r="CY42" s="201" t="s">
        <v>5791</v>
      </c>
      <c r="CZ42" s="202" t="s">
        <v>5791</v>
      </c>
      <c r="DA42" s="202" t="s">
        <v>5791</v>
      </c>
      <c r="DB42" s="203" t="s">
        <v>5791</v>
      </c>
      <c r="DC42" s="201" t="s">
        <v>5791</v>
      </c>
      <c r="DD42" s="202" t="s">
        <v>5791</v>
      </c>
      <c r="DE42" s="203" t="s">
        <v>5791</v>
      </c>
      <c r="DF42" s="274" t="s">
        <v>5791</v>
      </c>
      <c r="DG42" s="310">
        <v>8.8000000000000007</v>
      </c>
      <c r="DH42" s="310">
        <v>640</v>
      </c>
      <c r="DI42" s="32">
        <v>730</v>
      </c>
      <c r="DJ42" s="310">
        <v>800</v>
      </c>
      <c r="DK42" s="32">
        <v>940</v>
      </c>
      <c r="DL42" s="60">
        <v>200000</v>
      </c>
      <c r="DM42" s="29" t="s">
        <v>4770</v>
      </c>
      <c r="DN42" s="310" t="s">
        <v>4435</v>
      </c>
      <c r="DO42" s="306" t="s">
        <v>4565</v>
      </c>
    </row>
    <row r="43" spans="1:119">
      <c r="A43" s="295">
        <v>38</v>
      </c>
      <c r="B43" s="349"/>
      <c r="C43" s="349"/>
      <c r="D43" s="360"/>
      <c r="E43" s="360"/>
      <c r="F43" s="349"/>
      <c r="G43" s="349"/>
      <c r="H43" s="349"/>
      <c r="I43" s="349"/>
      <c r="J43" s="286" t="s">
        <v>4409</v>
      </c>
      <c r="K43" s="301" t="s">
        <v>4383</v>
      </c>
      <c r="L43" s="310" t="s">
        <v>5791</v>
      </c>
      <c r="M43" s="301" t="s">
        <v>4507</v>
      </c>
      <c r="N43" s="310" t="s">
        <v>4700</v>
      </c>
      <c r="O43" s="18" t="s">
        <v>4506</v>
      </c>
      <c r="P43" s="310" t="s">
        <v>4420</v>
      </c>
      <c r="Q43" s="310" t="s">
        <v>4420</v>
      </c>
      <c r="R43" s="310" t="s">
        <v>4420</v>
      </c>
      <c r="S43" s="310" t="s">
        <v>5791</v>
      </c>
      <c r="T43" s="59" t="s">
        <v>4420</v>
      </c>
      <c r="U43" s="59" t="s">
        <v>5791</v>
      </c>
      <c r="V43" s="59" t="s">
        <v>4420</v>
      </c>
      <c r="W43" s="59" t="s">
        <v>5791</v>
      </c>
      <c r="X43" s="310" t="s">
        <v>4470</v>
      </c>
      <c r="Y43" s="310">
        <v>15</v>
      </c>
      <c r="Z43" s="32" t="s">
        <v>4558</v>
      </c>
      <c r="AA43" s="72">
        <v>10</v>
      </c>
      <c r="AB43" s="224">
        <v>0</v>
      </c>
      <c r="AC43" s="140">
        <v>0</v>
      </c>
      <c r="AD43" s="301" t="s">
        <v>3982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1" t="s">
        <v>3913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0">
        <v>50</v>
      </c>
      <c r="AW43" s="301" t="s">
        <v>5806</v>
      </c>
      <c r="AX43" s="310" t="s">
        <v>6129</v>
      </c>
      <c r="AY43" s="21">
        <v>62.5</v>
      </c>
      <c r="AZ43" s="310">
        <v>24</v>
      </c>
      <c r="BA43" s="310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4420</v>
      </c>
      <c r="BH43" s="310" t="s">
        <v>4465</v>
      </c>
      <c r="BI43" s="310" t="s">
        <v>6204</v>
      </c>
      <c r="BJ43" s="310">
        <v>4</v>
      </c>
      <c r="BK43" s="310">
        <v>6</v>
      </c>
      <c r="BL43" s="196" t="s">
        <v>5791</v>
      </c>
      <c r="BM43" s="197" t="s">
        <v>5791</v>
      </c>
      <c r="BN43" s="197" t="s">
        <v>5791</v>
      </c>
      <c r="BO43" s="197" t="s">
        <v>5791</v>
      </c>
      <c r="BP43" s="197" t="s">
        <v>5791</v>
      </c>
      <c r="BQ43" s="197" t="s">
        <v>5791</v>
      </c>
      <c r="BR43" s="197" t="s">
        <v>5791</v>
      </c>
      <c r="BS43" s="197" t="s">
        <v>5791</v>
      </c>
      <c r="BT43" s="196" t="s">
        <v>5791</v>
      </c>
      <c r="BU43" s="197" t="s">
        <v>5791</v>
      </c>
      <c r="BV43" s="197" t="s">
        <v>5791</v>
      </c>
      <c r="BW43" s="197" t="s">
        <v>5791</v>
      </c>
      <c r="BX43" s="197" t="s">
        <v>5791</v>
      </c>
      <c r="BY43" s="197" t="s">
        <v>5791</v>
      </c>
      <c r="BZ43" s="212" t="s">
        <v>5791</v>
      </c>
      <c r="CA43" s="197" t="s">
        <v>5791</v>
      </c>
      <c r="CB43" s="197" t="s">
        <v>5791</v>
      </c>
      <c r="CC43" s="197" t="s">
        <v>5791</v>
      </c>
      <c r="CD43" s="197" t="s">
        <v>5791</v>
      </c>
      <c r="CE43" s="197" t="s">
        <v>5791</v>
      </c>
      <c r="CF43" s="212" t="s">
        <v>5791</v>
      </c>
      <c r="CG43" s="32" t="s">
        <v>4449</v>
      </c>
      <c r="CH43" s="46">
        <v>235</v>
      </c>
      <c r="CI43" s="21">
        <v>295.5</v>
      </c>
      <c r="CJ43" s="46">
        <v>360</v>
      </c>
      <c r="CK43" s="310">
        <v>419.5</v>
      </c>
      <c r="CL43" s="66">
        <v>200000</v>
      </c>
      <c r="CM43" s="106" t="s">
        <v>4449</v>
      </c>
      <c r="CN43" s="46">
        <v>235</v>
      </c>
      <c r="CO43" s="310">
        <v>321</v>
      </c>
      <c r="CP43" s="59">
        <v>360</v>
      </c>
      <c r="CQ43" s="310">
        <v>447</v>
      </c>
      <c r="CR43" s="66">
        <v>200000</v>
      </c>
      <c r="CS43" s="32" t="s">
        <v>4421</v>
      </c>
      <c r="CT43" s="59">
        <v>250</v>
      </c>
      <c r="CU43" s="310">
        <v>294</v>
      </c>
      <c r="CV43" s="59">
        <v>475</v>
      </c>
      <c r="CW43" s="310">
        <v>444</v>
      </c>
      <c r="CX43" s="60">
        <v>200000</v>
      </c>
      <c r="CY43" s="201" t="s">
        <v>5791</v>
      </c>
      <c r="CZ43" s="202" t="s">
        <v>5791</v>
      </c>
      <c r="DA43" s="202" t="s">
        <v>5791</v>
      </c>
      <c r="DB43" s="203" t="s">
        <v>5791</v>
      </c>
      <c r="DC43" s="201" t="s">
        <v>5791</v>
      </c>
      <c r="DD43" s="202" t="s">
        <v>5791</v>
      </c>
      <c r="DE43" s="203" t="s">
        <v>5791</v>
      </c>
      <c r="DF43" s="274" t="s">
        <v>5791</v>
      </c>
      <c r="DG43" s="310">
        <v>8.8000000000000007</v>
      </c>
      <c r="DH43" s="310">
        <v>640</v>
      </c>
      <c r="DI43" s="32">
        <v>730</v>
      </c>
      <c r="DJ43" s="310">
        <v>800</v>
      </c>
      <c r="DK43" s="32">
        <v>940</v>
      </c>
      <c r="DL43" s="60">
        <v>200000</v>
      </c>
      <c r="DM43" s="29" t="s">
        <v>4770</v>
      </c>
      <c r="DN43" s="310" t="s">
        <v>4435</v>
      </c>
      <c r="DO43" s="306" t="s">
        <v>4565</v>
      </c>
    </row>
    <row r="44" spans="1:119">
      <c r="A44" s="295">
        <v>39</v>
      </c>
      <c r="B44" s="349"/>
      <c r="C44" s="349"/>
      <c r="D44" s="360"/>
      <c r="E44" s="360"/>
      <c r="F44" s="349"/>
      <c r="G44" s="349"/>
      <c r="H44" s="349"/>
      <c r="I44" s="349"/>
      <c r="J44" s="286" t="s">
        <v>4410</v>
      </c>
      <c r="K44" s="301" t="s">
        <v>4383</v>
      </c>
      <c r="L44" s="310" t="s">
        <v>5791</v>
      </c>
      <c r="M44" s="301" t="s">
        <v>4507</v>
      </c>
      <c r="N44" s="310" t="s">
        <v>4700</v>
      </c>
      <c r="O44" s="18" t="s">
        <v>4506</v>
      </c>
      <c r="P44" s="310" t="s">
        <v>4420</v>
      </c>
      <c r="Q44" s="310" t="s">
        <v>4420</v>
      </c>
      <c r="R44" s="310" t="s">
        <v>6165</v>
      </c>
      <c r="S44" s="310">
        <v>10</v>
      </c>
      <c r="T44" s="59" t="s">
        <v>4420</v>
      </c>
      <c r="U44" s="59" t="s">
        <v>5791</v>
      </c>
      <c r="V44" s="59" t="s">
        <v>4420</v>
      </c>
      <c r="W44" s="59" t="s">
        <v>5791</v>
      </c>
      <c r="X44" s="310" t="s">
        <v>4420</v>
      </c>
      <c r="Y44" s="310" t="s">
        <v>5791</v>
      </c>
      <c r="Z44" s="32" t="s">
        <v>4558</v>
      </c>
      <c r="AA44" s="72">
        <v>10</v>
      </c>
      <c r="AB44" s="224">
        <v>0</v>
      </c>
      <c r="AC44" s="140">
        <v>0</v>
      </c>
      <c r="AD44" s="301" t="s">
        <v>3982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1" t="s">
        <v>3913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0">
        <v>0</v>
      </c>
      <c r="AW44" s="301" t="s">
        <v>5806</v>
      </c>
      <c r="AX44" s="310" t="s">
        <v>6129</v>
      </c>
      <c r="AY44" s="21">
        <v>70.5</v>
      </c>
      <c r="AZ44" s="310">
        <v>24</v>
      </c>
      <c r="BA44" s="310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4470</v>
      </c>
      <c r="BH44" s="310" t="s">
        <v>6204</v>
      </c>
      <c r="BI44" s="310" t="s">
        <v>6204</v>
      </c>
      <c r="BJ44" s="310">
        <v>2</v>
      </c>
      <c r="BK44" s="310">
        <v>4</v>
      </c>
      <c r="BL44" s="196" t="s">
        <v>5791</v>
      </c>
      <c r="BM44" s="197" t="s">
        <v>5791</v>
      </c>
      <c r="BN44" s="197" t="s">
        <v>5791</v>
      </c>
      <c r="BO44" s="197" t="s">
        <v>5791</v>
      </c>
      <c r="BP44" s="197" t="s">
        <v>5791</v>
      </c>
      <c r="BQ44" s="197" t="s">
        <v>5791</v>
      </c>
      <c r="BR44" s="197" t="s">
        <v>5791</v>
      </c>
      <c r="BS44" s="197" t="s">
        <v>5791</v>
      </c>
      <c r="BT44" s="196" t="s">
        <v>5791</v>
      </c>
      <c r="BU44" s="197" t="s">
        <v>5791</v>
      </c>
      <c r="BV44" s="197" t="s">
        <v>5791</v>
      </c>
      <c r="BW44" s="197" t="s">
        <v>5791</v>
      </c>
      <c r="BX44" s="197" t="s">
        <v>5791</v>
      </c>
      <c r="BY44" s="197" t="s">
        <v>5791</v>
      </c>
      <c r="BZ44" s="212" t="s">
        <v>5791</v>
      </c>
      <c r="CA44" s="197" t="s">
        <v>5791</v>
      </c>
      <c r="CB44" s="197" t="s">
        <v>5791</v>
      </c>
      <c r="CC44" s="197" t="s">
        <v>5791</v>
      </c>
      <c r="CD44" s="197" t="s">
        <v>5791</v>
      </c>
      <c r="CE44" s="197" t="s">
        <v>5791</v>
      </c>
      <c r="CF44" s="212" t="s">
        <v>5791</v>
      </c>
      <c r="CG44" s="32" t="s">
        <v>4449</v>
      </c>
      <c r="CH44" s="46">
        <v>235</v>
      </c>
      <c r="CI44" s="21">
        <v>295.5</v>
      </c>
      <c r="CJ44" s="46">
        <v>360</v>
      </c>
      <c r="CK44" s="310">
        <v>419.5</v>
      </c>
      <c r="CL44" s="66">
        <v>200000</v>
      </c>
      <c r="CM44" s="106" t="s">
        <v>4449</v>
      </c>
      <c r="CN44" s="46">
        <v>235</v>
      </c>
      <c r="CO44" s="310">
        <v>321</v>
      </c>
      <c r="CP44" s="59">
        <v>360</v>
      </c>
      <c r="CQ44" s="310">
        <v>447</v>
      </c>
      <c r="CR44" s="66">
        <v>200000</v>
      </c>
      <c r="CS44" s="32" t="s">
        <v>4421</v>
      </c>
      <c r="CT44" s="59">
        <v>250</v>
      </c>
      <c r="CU44" s="310">
        <v>294</v>
      </c>
      <c r="CV44" s="59">
        <v>475</v>
      </c>
      <c r="CW44" s="310">
        <v>444</v>
      </c>
      <c r="CX44" s="60">
        <v>200000</v>
      </c>
      <c r="CY44" s="201" t="s">
        <v>5791</v>
      </c>
      <c r="CZ44" s="202" t="s">
        <v>5791</v>
      </c>
      <c r="DA44" s="202" t="s">
        <v>5791</v>
      </c>
      <c r="DB44" s="203" t="s">
        <v>5791</v>
      </c>
      <c r="DC44" s="201" t="s">
        <v>5791</v>
      </c>
      <c r="DD44" s="202" t="s">
        <v>5791</v>
      </c>
      <c r="DE44" s="203" t="s">
        <v>5791</v>
      </c>
      <c r="DF44" s="274" t="s">
        <v>5791</v>
      </c>
      <c r="DG44" s="310">
        <v>8.8000000000000007</v>
      </c>
      <c r="DH44" s="310">
        <v>640</v>
      </c>
      <c r="DI44" s="32">
        <v>730</v>
      </c>
      <c r="DJ44" s="310">
        <v>800</v>
      </c>
      <c r="DK44" s="32">
        <v>940</v>
      </c>
      <c r="DL44" s="60">
        <v>200000</v>
      </c>
      <c r="DM44" s="29" t="s">
        <v>4572</v>
      </c>
      <c r="DN44" s="310" t="s">
        <v>4435</v>
      </c>
      <c r="DO44" s="306" t="s">
        <v>4565</v>
      </c>
    </row>
    <row r="45" spans="1:119">
      <c r="A45" s="295">
        <v>40</v>
      </c>
      <c r="B45" s="349"/>
      <c r="C45" s="349"/>
      <c r="D45" s="360"/>
      <c r="E45" s="360"/>
      <c r="F45" s="349"/>
      <c r="G45" s="349"/>
      <c r="H45" s="349"/>
      <c r="I45" s="349"/>
      <c r="J45" s="286" t="s">
        <v>4411</v>
      </c>
      <c r="K45" s="301" t="s">
        <v>4383</v>
      </c>
      <c r="L45" s="310" t="s">
        <v>5791</v>
      </c>
      <c r="M45" s="301" t="s">
        <v>4507</v>
      </c>
      <c r="N45" s="310" t="s">
        <v>4700</v>
      </c>
      <c r="O45" s="18" t="s">
        <v>4506</v>
      </c>
      <c r="P45" s="310" t="s">
        <v>4420</v>
      </c>
      <c r="Q45" s="310" t="s">
        <v>4420</v>
      </c>
      <c r="R45" s="310" t="s">
        <v>6165</v>
      </c>
      <c r="S45" s="310">
        <v>10</v>
      </c>
      <c r="T45" s="59" t="s">
        <v>4420</v>
      </c>
      <c r="U45" s="59" t="s">
        <v>5791</v>
      </c>
      <c r="V45" s="59" t="s">
        <v>4420</v>
      </c>
      <c r="W45" s="59" t="s">
        <v>5791</v>
      </c>
      <c r="X45" s="310" t="s">
        <v>4470</v>
      </c>
      <c r="Y45" s="310">
        <v>15</v>
      </c>
      <c r="Z45" s="32" t="s">
        <v>4558</v>
      </c>
      <c r="AA45" s="72">
        <v>10</v>
      </c>
      <c r="AB45" s="224">
        <v>0</v>
      </c>
      <c r="AC45" s="140">
        <v>0</v>
      </c>
      <c r="AD45" s="301" t="s">
        <v>3982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1" t="s">
        <v>3913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0">
        <v>0</v>
      </c>
      <c r="AW45" s="301" t="s">
        <v>5806</v>
      </c>
      <c r="AX45" s="310" t="s">
        <v>6129</v>
      </c>
      <c r="AY45" s="21">
        <v>74</v>
      </c>
      <c r="AZ45" s="310">
        <v>24</v>
      </c>
      <c r="BA45" s="310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4420</v>
      </c>
      <c r="BH45" s="310" t="s">
        <v>4465</v>
      </c>
      <c r="BI45" s="310" t="s">
        <v>6204</v>
      </c>
      <c r="BJ45" s="310">
        <v>4</v>
      </c>
      <c r="BK45" s="310">
        <v>6</v>
      </c>
      <c r="BL45" s="196" t="s">
        <v>5791</v>
      </c>
      <c r="BM45" s="197" t="s">
        <v>5791</v>
      </c>
      <c r="BN45" s="197" t="s">
        <v>5791</v>
      </c>
      <c r="BO45" s="197" t="s">
        <v>5791</v>
      </c>
      <c r="BP45" s="197" t="s">
        <v>5791</v>
      </c>
      <c r="BQ45" s="197" t="s">
        <v>5791</v>
      </c>
      <c r="BR45" s="197" t="s">
        <v>5791</v>
      </c>
      <c r="BS45" s="197" t="s">
        <v>5791</v>
      </c>
      <c r="BT45" s="196" t="s">
        <v>5791</v>
      </c>
      <c r="BU45" s="197" t="s">
        <v>5791</v>
      </c>
      <c r="BV45" s="197" t="s">
        <v>5791</v>
      </c>
      <c r="BW45" s="197" t="s">
        <v>5791</v>
      </c>
      <c r="BX45" s="197" t="s">
        <v>5791</v>
      </c>
      <c r="BY45" s="197" t="s">
        <v>5791</v>
      </c>
      <c r="BZ45" s="212" t="s">
        <v>5791</v>
      </c>
      <c r="CA45" s="197" t="s">
        <v>5791</v>
      </c>
      <c r="CB45" s="197" t="s">
        <v>5791</v>
      </c>
      <c r="CC45" s="197" t="s">
        <v>5791</v>
      </c>
      <c r="CD45" s="197" t="s">
        <v>5791</v>
      </c>
      <c r="CE45" s="197" t="s">
        <v>5791</v>
      </c>
      <c r="CF45" s="212" t="s">
        <v>5791</v>
      </c>
      <c r="CG45" s="32" t="s">
        <v>4449</v>
      </c>
      <c r="CH45" s="46">
        <v>235</v>
      </c>
      <c r="CI45" s="21">
        <v>295.5</v>
      </c>
      <c r="CJ45" s="46">
        <v>360</v>
      </c>
      <c r="CK45" s="310">
        <v>419.5</v>
      </c>
      <c r="CL45" s="66">
        <v>200000</v>
      </c>
      <c r="CM45" s="106" t="s">
        <v>4449</v>
      </c>
      <c r="CN45" s="46">
        <v>235</v>
      </c>
      <c r="CO45" s="310">
        <v>321</v>
      </c>
      <c r="CP45" s="59">
        <v>360</v>
      </c>
      <c r="CQ45" s="310">
        <v>447</v>
      </c>
      <c r="CR45" s="66">
        <v>200000</v>
      </c>
      <c r="CS45" s="32" t="s">
        <v>4421</v>
      </c>
      <c r="CT45" s="59">
        <v>250</v>
      </c>
      <c r="CU45" s="310">
        <v>294</v>
      </c>
      <c r="CV45" s="59">
        <v>475</v>
      </c>
      <c r="CW45" s="310">
        <v>444</v>
      </c>
      <c r="CX45" s="60">
        <v>200000</v>
      </c>
      <c r="CY45" s="201" t="s">
        <v>5791</v>
      </c>
      <c r="CZ45" s="202" t="s">
        <v>5791</v>
      </c>
      <c r="DA45" s="202" t="s">
        <v>5791</v>
      </c>
      <c r="DB45" s="203" t="s">
        <v>5791</v>
      </c>
      <c r="DC45" s="201" t="s">
        <v>5791</v>
      </c>
      <c r="DD45" s="202" t="s">
        <v>5791</v>
      </c>
      <c r="DE45" s="203" t="s">
        <v>5791</v>
      </c>
      <c r="DF45" s="274" t="s">
        <v>5791</v>
      </c>
      <c r="DG45" s="310">
        <v>8.8000000000000007</v>
      </c>
      <c r="DH45" s="310">
        <v>640</v>
      </c>
      <c r="DI45" s="32">
        <v>730</v>
      </c>
      <c r="DJ45" s="310">
        <v>800</v>
      </c>
      <c r="DK45" s="32">
        <v>940</v>
      </c>
      <c r="DL45" s="60">
        <v>200000</v>
      </c>
      <c r="DM45" s="29" t="s">
        <v>4572</v>
      </c>
      <c r="DN45" s="310" t="s">
        <v>4435</v>
      </c>
      <c r="DO45" s="306" t="s">
        <v>4565</v>
      </c>
    </row>
    <row r="46" spans="1:119">
      <c r="A46" s="295">
        <v>41</v>
      </c>
      <c r="B46" s="349"/>
      <c r="C46" s="349"/>
      <c r="D46" s="360"/>
      <c r="E46" s="360"/>
      <c r="F46" s="349"/>
      <c r="G46" s="349"/>
      <c r="H46" s="349"/>
      <c r="I46" s="349"/>
      <c r="J46" s="286" t="s">
        <v>4412</v>
      </c>
      <c r="K46" s="301" t="s">
        <v>4383</v>
      </c>
      <c r="L46" s="310" t="s">
        <v>5791</v>
      </c>
      <c r="M46" s="301" t="s">
        <v>4507</v>
      </c>
      <c r="N46" s="310" t="s">
        <v>4700</v>
      </c>
      <c r="O46" s="18" t="s">
        <v>4506</v>
      </c>
      <c r="P46" s="310" t="s">
        <v>4420</v>
      </c>
      <c r="Q46" s="310" t="s">
        <v>4420</v>
      </c>
      <c r="R46" s="310" t="s">
        <v>4420</v>
      </c>
      <c r="S46" s="310" t="s">
        <v>5791</v>
      </c>
      <c r="T46" s="59" t="s">
        <v>4420</v>
      </c>
      <c r="U46" s="59" t="s">
        <v>5791</v>
      </c>
      <c r="V46" s="59" t="s">
        <v>4420</v>
      </c>
      <c r="W46" s="59" t="s">
        <v>5791</v>
      </c>
      <c r="X46" s="310" t="s">
        <v>4420</v>
      </c>
      <c r="Y46" s="310" t="s">
        <v>5791</v>
      </c>
      <c r="Z46" s="32" t="s">
        <v>4558</v>
      </c>
      <c r="AA46" s="72">
        <v>10</v>
      </c>
      <c r="AB46" s="224">
        <v>0</v>
      </c>
      <c r="AC46" s="140">
        <v>0</v>
      </c>
      <c r="AD46" s="301" t="s">
        <v>3982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1" t="s">
        <v>3913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0">
        <v>50</v>
      </c>
      <c r="AW46" s="301" t="s">
        <v>5806</v>
      </c>
      <c r="AX46" s="310" t="s">
        <v>6129</v>
      </c>
      <c r="AY46" s="310">
        <v>98</v>
      </c>
      <c r="AZ46" s="310">
        <v>24</v>
      </c>
      <c r="BA46" s="310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4420</v>
      </c>
      <c r="BH46" s="310" t="s">
        <v>4465</v>
      </c>
      <c r="BI46" s="310" t="s">
        <v>6204</v>
      </c>
      <c r="BJ46" s="310">
        <v>4</v>
      </c>
      <c r="BK46" s="310">
        <v>6</v>
      </c>
      <c r="BL46" s="196" t="s">
        <v>5791</v>
      </c>
      <c r="BM46" s="197" t="s">
        <v>5791</v>
      </c>
      <c r="BN46" s="197" t="s">
        <v>5791</v>
      </c>
      <c r="BO46" s="197" t="s">
        <v>5791</v>
      </c>
      <c r="BP46" s="197" t="s">
        <v>5791</v>
      </c>
      <c r="BQ46" s="197" t="s">
        <v>5791</v>
      </c>
      <c r="BR46" s="197" t="s">
        <v>5791</v>
      </c>
      <c r="BS46" s="197" t="s">
        <v>5791</v>
      </c>
      <c r="BT46" s="196" t="s">
        <v>5791</v>
      </c>
      <c r="BU46" s="197" t="s">
        <v>5791</v>
      </c>
      <c r="BV46" s="197" t="s">
        <v>5791</v>
      </c>
      <c r="BW46" s="197" t="s">
        <v>5791</v>
      </c>
      <c r="BX46" s="197" t="s">
        <v>5791</v>
      </c>
      <c r="BY46" s="197" t="s">
        <v>5791</v>
      </c>
      <c r="BZ46" s="212" t="s">
        <v>5791</v>
      </c>
      <c r="CA46" s="197" t="s">
        <v>5791</v>
      </c>
      <c r="CB46" s="197" t="s">
        <v>5791</v>
      </c>
      <c r="CC46" s="197" t="s">
        <v>5791</v>
      </c>
      <c r="CD46" s="197" t="s">
        <v>5791</v>
      </c>
      <c r="CE46" s="197" t="s">
        <v>5791</v>
      </c>
      <c r="CF46" s="212" t="s">
        <v>5791</v>
      </c>
      <c r="CG46" s="32" t="s">
        <v>4449</v>
      </c>
      <c r="CH46" s="46">
        <v>235</v>
      </c>
      <c r="CI46" s="21">
        <v>295.5</v>
      </c>
      <c r="CJ46" s="46">
        <v>360</v>
      </c>
      <c r="CK46" s="310">
        <v>419.5</v>
      </c>
      <c r="CL46" s="66">
        <v>200000</v>
      </c>
      <c r="CM46" s="106" t="s">
        <v>4449</v>
      </c>
      <c r="CN46" s="46">
        <v>235</v>
      </c>
      <c r="CO46" s="310">
        <v>321</v>
      </c>
      <c r="CP46" s="59">
        <v>360</v>
      </c>
      <c r="CQ46" s="310">
        <v>447</v>
      </c>
      <c r="CR46" s="66">
        <v>200000</v>
      </c>
      <c r="CS46" s="32" t="s">
        <v>4421</v>
      </c>
      <c r="CT46" s="59">
        <v>250</v>
      </c>
      <c r="CU46" s="310">
        <v>294</v>
      </c>
      <c r="CV46" s="59">
        <v>475</v>
      </c>
      <c r="CW46" s="310">
        <v>444</v>
      </c>
      <c r="CX46" s="60">
        <v>200000</v>
      </c>
      <c r="CY46" s="201" t="s">
        <v>5791</v>
      </c>
      <c r="CZ46" s="202" t="s">
        <v>5791</v>
      </c>
      <c r="DA46" s="202" t="s">
        <v>5791</v>
      </c>
      <c r="DB46" s="203" t="s">
        <v>5791</v>
      </c>
      <c r="DC46" s="201" t="s">
        <v>5791</v>
      </c>
      <c r="DD46" s="202" t="s">
        <v>5791</v>
      </c>
      <c r="DE46" s="203" t="s">
        <v>5791</v>
      </c>
      <c r="DF46" s="274" t="s">
        <v>5791</v>
      </c>
      <c r="DG46" s="310">
        <v>8.8000000000000007</v>
      </c>
      <c r="DH46" s="310">
        <v>640</v>
      </c>
      <c r="DI46" s="32">
        <v>730</v>
      </c>
      <c r="DJ46" s="310">
        <v>800</v>
      </c>
      <c r="DK46" s="32">
        <v>940</v>
      </c>
      <c r="DL46" s="60">
        <v>200000</v>
      </c>
      <c r="DM46" s="29" t="s">
        <v>4770</v>
      </c>
      <c r="DN46" s="310" t="s">
        <v>4435</v>
      </c>
      <c r="DO46" s="306" t="s">
        <v>4565</v>
      </c>
    </row>
    <row r="47" spans="1:119" ht="16.2" thickBot="1">
      <c r="A47" s="296">
        <v>42</v>
      </c>
      <c r="B47" s="350"/>
      <c r="C47" s="350"/>
      <c r="D47" s="372"/>
      <c r="E47" s="372"/>
      <c r="F47" s="350"/>
      <c r="G47" s="350"/>
      <c r="H47" s="350"/>
      <c r="I47" s="350"/>
      <c r="J47" s="285" t="s">
        <v>4413</v>
      </c>
      <c r="K47" s="308" t="s">
        <v>4383</v>
      </c>
      <c r="L47" s="311" t="s">
        <v>5791</v>
      </c>
      <c r="M47" s="308" t="s">
        <v>4507</v>
      </c>
      <c r="N47" s="311" t="s">
        <v>4700</v>
      </c>
      <c r="O47" s="14" t="s">
        <v>4506</v>
      </c>
      <c r="P47" s="311" t="s">
        <v>4420</v>
      </c>
      <c r="Q47" s="311" t="s">
        <v>4420</v>
      </c>
      <c r="R47" s="311" t="s">
        <v>4420</v>
      </c>
      <c r="S47" s="311" t="s">
        <v>5791</v>
      </c>
      <c r="T47" s="86" t="s">
        <v>4420</v>
      </c>
      <c r="U47" s="86" t="s">
        <v>5791</v>
      </c>
      <c r="V47" s="86" t="s">
        <v>4420</v>
      </c>
      <c r="W47" s="86" t="s">
        <v>5791</v>
      </c>
      <c r="X47" s="311" t="s">
        <v>4420</v>
      </c>
      <c r="Y47" s="311" t="s">
        <v>5791</v>
      </c>
      <c r="Z47" s="34" t="s">
        <v>4558</v>
      </c>
      <c r="AA47" s="117">
        <v>10</v>
      </c>
      <c r="AB47" s="226">
        <v>0</v>
      </c>
      <c r="AC47" s="153">
        <v>0</v>
      </c>
      <c r="AD47" s="308" t="s">
        <v>3982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8" t="s">
        <v>3913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1">
        <v>0</v>
      </c>
      <c r="AW47" s="308" t="s">
        <v>5806</v>
      </c>
      <c r="AX47" s="311" t="s">
        <v>6129</v>
      </c>
      <c r="AY47" s="311">
        <v>120</v>
      </c>
      <c r="AZ47" s="311">
        <v>24</v>
      </c>
      <c r="BA47" s="311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4420</v>
      </c>
      <c r="BH47" s="311" t="s">
        <v>4465</v>
      </c>
      <c r="BI47" s="311" t="s">
        <v>6204</v>
      </c>
      <c r="BJ47" s="311">
        <v>4</v>
      </c>
      <c r="BK47" s="311">
        <v>6</v>
      </c>
      <c r="BL47" s="191" t="s">
        <v>5791</v>
      </c>
      <c r="BM47" s="192" t="s">
        <v>5791</v>
      </c>
      <c r="BN47" s="192" t="s">
        <v>5791</v>
      </c>
      <c r="BO47" s="192" t="s">
        <v>5791</v>
      </c>
      <c r="BP47" s="192" t="s">
        <v>5791</v>
      </c>
      <c r="BQ47" s="192" t="s">
        <v>5791</v>
      </c>
      <c r="BR47" s="192" t="s">
        <v>5791</v>
      </c>
      <c r="BS47" s="192" t="s">
        <v>5791</v>
      </c>
      <c r="BT47" s="191" t="s">
        <v>5791</v>
      </c>
      <c r="BU47" s="192" t="s">
        <v>5791</v>
      </c>
      <c r="BV47" s="192" t="s">
        <v>5791</v>
      </c>
      <c r="BW47" s="192" t="s">
        <v>5791</v>
      </c>
      <c r="BX47" s="192" t="s">
        <v>5791</v>
      </c>
      <c r="BY47" s="192" t="s">
        <v>5791</v>
      </c>
      <c r="BZ47" s="214" t="s">
        <v>5791</v>
      </c>
      <c r="CA47" s="192" t="s">
        <v>5791</v>
      </c>
      <c r="CB47" s="192" t="s">
        <v>5791</v>
      </c>
      <c r="CC47" s="192" t="s">
        <v>5791</v>
      </c>
      <c r="CD47" s="192" t="s">
        <v>5791</v>
      </c>
      <c r="CE47" s="192" t="s">
        <v>5791</v>
      </c>
      <c r="CF47" s="214" t="s">
        <v>5791</v>
      </c>
      <c r="CG47" s="34" t="s">
        <v>4449</v>
      </c>
      <c r="CH47" s="84">
        <v>235</v>
      </c>
      <c r="CI47" s="23">
        <v>295.5</v>
      </c>
      <c r="CJ47" s="84">
        <v>360</v>
      </c>
      <c r="CK47" s="311">
        <v>419.5</v>
      </c>
      <c r="CL47" s="69">
        <v>200000</v>
      </c>
      <c r="CM47" s="130" t="s">
        <v>4449</v>
      </c>
      <c r="CN47" s="84">
        <v>235</v>
      </c>
      <c r="CO47" s="311">
        <v>321</v>
      </c>
      <c r="CP47" s="86">
        <v>360</v>
      </c>
      <c r="CQ47" s="311">
        <v>447</v>
      </c>
      <c r="CR47" s="69">
        <v>200000</v>
      </c>
      <c r="CS47" s="34" t="s">
        <v>4421</v>
      </c>
      <c r="CT47" s="86">
        <v>250</v>
      </c>
      <c r="CU47" s="311">
        <v>294</v>
      </c>
      <c r="CV47" s="86">
        <v>475</v>
      </c>
      <c r="CW47" s="311">
        <v>444</v>
      </c>
      <c r="CX47" s="76">
        <v>200000</v>
      </c>
      <c r="CY47" s="204" t="s">
        <v>5791</v>
      </c>
      <c r="CZ47" s="205" t="s">
        <v>5791</v>
      </c>
      <c r="DA47" s="205" t="s">
        <v>5791</v>
      </c>
      <c r="DB47" s="206" t="s">
        <v>5791</v>
      </c>
      <c r="DC47" s="204" t="s">
        <v>5791</v>
      </c>
      <c r="DD47" s="205" t="s">
        <v>5791</v>
      </c>
      <c r="DE47" s="206" t="s">
        <v>5791</v>
      </c>
      <c r="DF47" s="275" t="s">
        <v>5791</v>
      </c>
      <c r="DG47" s="311">
        <v>8.8000000000000007</v>
      </c>
      <c r="DH47" s="311">
        <v>640</v>
      </c>
      <c r="DI47" s="34">
        <v>730</v>
      </c>
      <c r="DJ47" s="311">
        <v>800</v>
      </c>
      <c r="DK47" s="34">
        <v>940</v>
      </c>
      <c r="DL47" s="76">
        <v>200000</v>
      </c>
      <c r="DM47" s="27" t="s">
        <v>4770</v>
      </c>
      <c r="DN47" s="311" t="s">
        <v>4435</v>
      </c>
      <c r="DO47" s="307" t="s">
        <v>4565</v>
      </c>
    </row>
    <row r="48" spans="1:119" ht="15.6" customHeight="1">
      <c r="A48" s="294">
        <v>43</v>
      </c>
      <c r="B48" s="348">
        <v>4</v>
      </c>
      <c r="C48" s="348">
        <v>1981</v>
      </c>
      <c r="D48" s="359" t="s">
        <v>4665</v>
      </c>
      <c r="E48" s="359" t="s">
        <v>4835</v>
      </c>
      <c r="F48" s="348">
        <v>5</v>
      </c>
      <c r="G48" s="348" t="s">
        <v>5898</v>
      </c>
      <c r="H48" s="348" t="s">
        <v>5894</v>
      </c>
      <c r="I48" s="348" t="s">
        <v>5686</v>
      </c>
      <c r="J48" s="284" t="s">
        <v>4452</v>
      </c>
      <c r="K48" s="300" t="s">
        <v>4383</v>
      </c>
      <c r="L48" s="30" t="s">
        <v>5791</v>
      </c>
      <c r="M48" s="300" t="s">
        <v>4508</v>
      </c>
      <c r="N48" s="309" t="s">
        <v>4702</v>
      </c>
      <c r="O48" s="17" t="s">
        <v>4506</v>
      </c>
      <c r="P48" s="309" t="s">
        <v>4420</v>
      </c>
      <c r="Q48" s="309" t="s">
        <v>4420</v>
      </c>
      <c r="R48" s="309" t="s">
        <v>6164</v>
      </c>
      <c r="S48" s="30">
        <v>10</v>
      </c>
      <c r="T48" s="64" t="s">
        <v>4420</v>
      </c>
      <c r="U48" s="64" t="s">
        <v>5791</v>
      </c>
      <c r="V48" s="64" t="s">
        <v>4420</v>
      </c>
      <c r="W48" s="64" t="s">
        <v>5791</v>
      </c>
      <c r="X48" s="309" t="s">
        <v>4420</v>
      </c>
      <c r="Y48" s="309" t="s">
        <v>5791</v>
      </c>
      <c r="Z48" s="30" t="s">
        <v>4558</v>
      </c>
      <c r="AA48" s="87">
        <v>10</v>
      </c>
      <c r="AB48" s="225">
        <v>0</v>
      </c>
      <c r="AC48" s="152">
        <v>0</v>
      </c>
      <c r="AD48" s="300" t="s">
        <v>508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300" t="s">
        <v>498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0" t="s">
        <v>5806</v>
      </c>
      <c r="AX48" s="309" t="s">
        <v>6129</v>
      </c>
      <c r="AY48" s="309">
        <v>188</v>
      </c>
      <c r="AZ48" s="309">
        <v>22</v>
      </c>
      <c r="BA48" s="309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4420</v>
      </c>
      <c r="BH48" s="309" t="s">
        <v>4465</v>
      </c>
      <c r="BI48" s="309" t="s">
        <v>6204</v>
      </c>
      <c r="BJ48" s="309">
        <v>4</v>
      </c>
      <c r="BK48" s="309">
        <v>6</v>
      </c>
      <c r="BL48" s="194" t="s">
        <v>5791</v>
      </c>
      <c r="BM48" s="195" t="s">
        <v>5791</v>
      </c>
      <c r="BN48" s="195" t="s">
        <v>5791</v>
      </c>
      <c r="BO48" s="195" t="s">
        <v>5791</v>
      </c>
      <c r="BP48" s="195" t="s">
        <v>5791</v>
      </c>
      <c r="BQ48" s="195" t="s">
        <v>5791</v>
      </c>
      <c r="BR48" s="195" t="s">
        <v>5791</v>
      </c>
      <c r="BS48" s="195" t="s">
        <v>5791</v>
      </c>
      <c r="BT48" s="194" t="s">
        <v>5791</v>
      </c>
      <c r="BU48" s="195" t="s">
        <v>5791</v>
      </c>
      <c r="BV48" s="195" t="s">
        <v>5791</v>
      </c>
      <c r="BW48" s="195" t="s">
        <v>5791</v>
      </c>
      <c r="BX48" s="195" t="s">
        <v>5791</v>
      </c>
      <c r="BY48" s="195" t="s">
        <v>5791</v>
      </c>
      <c r="BZ48" s="213" t="s">
        <v>5791</v>
      </c>
      <c r="CA48" s="195" t="s">
        <v>5791</v>
      </c>
      <c r="CB48" s="195" t="s">
        <v>5791</v>
      </c>
      <c r="CC48" s="195" t="s">
        <v>5791</v>
      </c>
      <c r="CD48" s="195" t="s">
        <v>5791</v>
      </c>
      <c r="CE48" s="195" t="s">
        <v>5791</v>
      </c>
      <c r="CF48" s="213" t="s">
        <v>5791</v>
      </c>
      <c r="CG48" s="30" t="s">
        <v>5665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300" t="s">
        <v>5665</v>
      </c>
      <c r="CN48" s="64">
        <v>300</v>
      </c>
      <c r="CO48" s="309">
        <v>363</v>
      </c>
      <c r="CP48" s="64">
        <v>450</v>
      </c>
      <c r="CQ48" s="30">
        <f>CP48*1.2</f>
        <v>540</v>
      </c>
      <c r="CR48" s="65">
        <v>200000</v>
      </c>
      <c r="CS48" s="300" t="s">
        <v>5665</v>
      </c>
      <c r="CT48" s="64">
        <v>300</v>
      </c>
      <c r="CU48" s="309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5791</v>
      </c>
      <c r="CZ48" s="199" t="s">
        <v>5791</v>
      </c>
      <c r="DA48" s="199" t="s">
        <v>5791</v>
      </c>
      <c r="DB48" s="200" t="s">
        <v>5791</v>
      </c>
      <c r="DC48" s="198" t="s">
        <v>5791</v>
      </c>
      <c r="DD48" s="199" t="s">
        <v>5791</v>
      </c>
      <c r="DE48" s="200" t="s">
        <v>5791</v>
      </c>
      <c r="DF48" s="273" t="s">
        <v>5791</v>
      </c>
      <c r="DG48" s="309" t="s">
        <v>4422</v>
      </c>
      <c r="DH48" s="309">
        <v>640</v>
      </c>
      <c r="DI48" s="30">
        <v>730</v>
      </c>
      <c r="DJ48" s="309">
        <v>800</v>
      </c>
      <c r="DK48" s="30">
        <v>940</v>
      </c>
      <c r="DL48" s="75">
        <v>200000</v>
      </c>
      <c r="DM48" s="28" t="s">
        <v>4781</v>
      </c>
      <c r="DN48" s="30" t="s">
        <v>4435</v>
      </c>
      <c r="DO48" s="305" t="s">
        <v>4565</v>
      </c>
    </row>
    <row r="49" spans="1:119">
      <c r="A49" s="295">
        <v>44</v>
      </c>
      <c r="B49" s="349"/>
      <c r="C49" s="349"/>
      <c r="D49" s="360"/>
      <c r="E49" s="360"/>
      <c r="F49" s="349"/>
      <c r="G49" s="349"/>
      <c r="H49" s="349"/>
      <c r="I49" s="349"/>
      <c r="J49" s="286" t="s">
        <v>4453</v>
      </c>
      <c r="K49" s="301" t="s">
        <v>4383</v>
      </c>
      <c r="L49" s="32" t="s">
        <v>5791</v>
      </c>
      <c r="M49" s="301" t="s">
        <v>4508</v>
      </c>
      <c r="N49" s="310" t="s">
        <v>4702</v>
      </c>
      <c r="O49" s="18" t="s">
        <v>4506</v>
      </c>
      <c r="P49" s="310" t="s">
        <v>4420</v>
      </c>
      <c r="Q49" s="310" t="s">
        <v>4420</v>
      </c>
      <c r="R49" s="310" t="s">
        <v>6164</v>
      </c>
      <c r="S49" s="32">
        <v>10</v>
      </c>
      <c r="T49" s="59" t="s">
        <v>4420</v>
      </c>
      <c r="U49" s="59" t="s">
        <v>5791</v>
      </c>
      <c r="V49" s="59" t="s">
        <v>4420</v>
      </c>
      <c r="W49" s="59" t="s">
        <v>5791</v>
      </c>
      <c r="X49" s="310" t="s">
        <v>4420</v>
      </c>
      <c r="Y49" s="310" t="s">
        <v>5791</v>
      </c>
      <c r="Z49" s="32" t="s">
        <v>4558</v>
      </c>
      <c r="AA49" s="72">
        <v>10</v>
      </c>
      <c r="AB49" s="224">
        <v>0</v>
      </c>
      <c r="AC49" s="140">
        <v>0</v>
      </c>
      <c r="AD49" s="301" t="s">
        <v>508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1" t="s">
        <v>498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1" t="s">
        <v>5806</v>
      </c>
      <c r="AX49" s="310" t="s">
        <v>6129</v>
      </c>
      <c r="AY49" s="310">
        <v>180</v>
      </c>
      <c r="AZ49" s="310">
        <v>22</v>
      </c>
      <c r="BA49" s="310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4420</v>
      </c>
      <c r="BH49" s="310" t="s">
        <v>4465</v>
      </c>
      <c r="BI49" s="310" t="s">
        <v>6204</v>
      </c>
      <c r="BJ49" s="310">
        <v>4</v>
      </c>
      <c r="BK49" s="310">
        <v>6</v>
      </c>
      <c r="BL49" s="196" t="s">
        <v>5791</v>
      </c>
      <c r="BM49" s="197" t="s">
        <v>5791</v>
      </c>
      <c r="BN49" s="197" t="s">
        <v>5791</v>
      </c>
      <c r="BO49" s="197" t="s">
        <v>5791</v>
      </c>
      <c r="BP49" s="197" t="s">
        <v>5791</v>
      </c>
      <c r="BQ49" s="197" t="s">
        <v>5791</v>
      </c>
      <c r="BR49" s="197" t="s">
        <v>5791</v>
      </c>
      <c r="BS49" s="197" t="s">
        <v>5791</v>
      </c>
      <c r="BT49" s="196" t="s">
        <v>5791</v>
      </c>
      <c r="BU49" s="197" t="s">
        <v>5791</v>
      </c>
      <c r="BV49" s="197" t="s">
        <v>5791</v>
      </c>
      <c r="BW49" s="197" t="s">
        <v>5791</v>
      </c>
      <c r="BX49" s="197" t="s">
        <v>5791</v>
      </c>
      <c r="BY49" s="197" t="s">
        <v>5791</v>
      </c>
      <c r="BZ49" s="212" t="s">
        <v>5791</v>
      </c>
      <c r="CA49" s="197" t="s">
        <v>5791</v>
      </c>
      <c r="CB49" s="197" t="s">
        <v>5791</v>
      </c>
      <c r="CC49" s="197" t="s">
        <v>5791</v>
      </c>
      <c r="CD49" s="197" t="s">
        <v>5791</v>
      </c>
      <c r="CE49" s="197" t="s">
        <v>5791</v>
      </c>
      <c r="CF49" s="212" t="s">
        <v>5791</v>
      </c>
      <c r="CG49" s="32" t="s">
        <v>5665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1" t="s">
        <v>5665</v>
      </c>
      <c r="CN49" s="59">
        <v>300</v>
      </c>
      <c r="CO49" s="310">
        <v>363</v>
      </c>
      <c r="CP49" s="59">
        <v>450</v>
      </c>
      <c r="CQ49" s="32">
        <f>CP49*1.2</f>
        <v>540</v>
      </c>
      <c r="CR49" s="66">
        <v>200000</v>
      </c>
      <c r="CS49" s="301" t="s">
        <v>5665</v>
      </c>
      <c r="CT49" s="59">
        <v>300</v>
      </c>
      <c r="CU49" s="310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5791</v>
      </c>
      <c r="CZ49" s="202" t="s">
        <v>5791</v>
      </c>
      <c r="DA49" s="202" t="s">
        <v>5791</v>
      </c>
      <c r="DB49" s="203" t="s">
        <v>5791</v>
      </c>
      <c r="DC49" s="201" t="s">
        <v>5791</v>
      </c>
      <c r="DD49" s="202" t="s">
        <v>5791</v>
      </c>
      <c r="DE49" s="203" t="s">
        <v>5791</v>
      </c>
      <c r="DF49" s="274" t="s">
        <v>5791</v>
      </c>
      <c r="DG49" s="310" t="s">
        <v>4422</v>
      </c>
      <c r="DH49" s="310">
        <v>640</v>
      </c>
      <c r="DI49" s="32">
        <v>730</v>
      </c>
      <c r="DJ49" s="310">
        <v>800</v>
      </c>
      <c r="DK49" s="32">
        <v>940</v>
      </c>
      <c r="DL49" s="60">
        <v>200000</v>
      </c>
      <c r="DM49" s="29" t="s">
        <v>15</v>
      </c>
      <c r="DN49" s="32" t="s">
        <v>4435</v>
      </c>
      <c r="DO49" s="306" t="s">
        <v>4565</v>
      </c>
    </row>
    <row r="50" spans="1:119">
      <c r="A50" s="295">
        <v>45</v>
      </c>
      <c r="B50" s="349"/>
      <c r="C50" s="349"/>
      <c r="D50" s="360"/>
      <c r="E50" s="360"/>
      <c r="F50" s="349"/>
      <c r="G50" s="349"/>
      <c r="H50" s="349"/>
      <c r="I50" s="349"/>
      <c r="J50" s="286" t="s">
        <v>4454</v>
      </c>
      <c r="K50" s="301" t="s">
        <v>4383</v>
      </c>
      <c r="L50" s="32" t="s">
        <v>5791</v>
      </c>
      <c r="M50" s="301" t="s">
        <v>4508</v>
      </c>
      <c r="N50" s="310" t="s">
        <v>4702</v>
      </c>
      <c r="O50" s="18" t="s">
        <v>4506</v>
      </c>
      <c r="P50" s="310" t="s">
        <v>4420</v>
      </c>
      <c r="Q50" s="310" t="s">
        <v>4420</v>
      </c>
      <c r="R50" s="310" t="s">
        <v>6164</v>
      </c>
      <c r="S50" s="32">
        <v>10</v>
      </c>
      <c r="T50" s="59" t="s">
        <v>4420</v>
      </c>
      <c r="U50" s="59" t="s">
        <v>5791</v>
      </c>
      <c r="V50" s="59" t="s">
        <v>4420</v>
      </c>
      <c r="W50" s="59" t="s">
        <v>5791</v>
      </c>
      <c r="X50" s="310" t="s">
        <v>4420</v>
      </c>
      <c r="Y50" s="310" t="s">
        <v>5791</v>
      </c>
      <c r="Z50" s="32" t="s">
        <v>4558</v>
      </c>
      <c r="AA50" s="72">
        <v>10</v>
      </c>
      <c r="AB50" s="224">
        <v>0</v>
      </c>
      <c r="AC50" s="140">
        <v>0</v>
      </c>
      <c r="AD50" s="301" t="s">
        <v>508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1" t="s">
        <v>498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1" t="s">
        <v>5806</v>
      </c>
      <c r="AX50" s="310" t="s">
        <v>6129</v>
      </c>
      <c r="AY50" s="310">
        <v>185</v>
      </c>
      <c r="AZ50" s="310">
        <v>22</v>
      </c>
      <c r="BA50" s="310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4420</v>
      </c>
      <c r="BH50" s="310" t="s">
        <v>4465</v>
      </c>
      <c r="BI50" s="310" t="s">
        <v>6204</v>
      </c>
      <c r="BJ50" s="310">
        <v>4</v>
      </c>
      <c r="BK50" s="310">
        <v>6</v>
      </c>
      <c r="BL50" s="196" t="s">
        <v>5791</v>
      </c>
      <c r="BM50" s="197" t="s">
        <v>5791</v>
      </c>
      <c r="BN50" s="197" t="s">
        <v>5791</v>
      </c>
      <c r="BO50" s="197" t="s">
        <v>5791</v>
      </c>
      <c r="BP50" s="197" t="s">
        <v>5791</v>
      </c>
      <c r="BQ50" s="197" t="s">
        <v>5791</v>
      </c>
      <c r="BR50" s="197" t="s">
        <v>5791</v>
      </c>
      <c r="BS50" s="197" t="s">
        <v>5791</v>
      </c>
      <c r="BT50" s="196" t="s">
        <v>5791</v>
      </c>
      <c r="BU50" s="197" t="s">
        <v>5791</v>
      </c>
      <c r="BV50" s="197" t="s">
        <v>5791</v>
      </c>
      <c r="BW50" s="197" t="s">
        <v>5791</v>
      </c>
      <c r="BX50" s="197" t="s">
        <v>5791</v>
      </c>
      <c r="BY50" s="197" t="s">
        <v>5791</v>
      </c>
      <c r="BZ50" s="212" t="s">
        <v>5791</v>
      </c>
      <c r="CA50" s="197" t="s">
        <v>5791</v>
      </c>
      <c r="CB50" s="197" t="s">
        <v>5791</v>
      </c>
      <c r="CC50" s="197" t="s">
        <v>5791</v>
      </c>
      <c r="CD50" s="197" t="s">
        <v>5791</v>
      </c>
      <c r="CE50" s="197" t="s">
        <v>5791</v>
      </c>
      <c r="CF50" s="212" t="s">
        <v>5791</v>
      </c>
      <c r="CG50" s="32" t="s">
        <v>5665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1" t="s">
        <v>5665</v>
      </c>
      <c r="CN50" s="59">
        <v>300</v>
      </c>
      <c r="CO50" s="310">
        <v>363</v>
      </c>
      <c r="CP50" s="59">
        <v>450</v>
      </c>
      <c r="CQ50" s="32">
        <f>CP50*1.2</f>
        <v>540</v>
      </c>
      <c r="CR50" s="66">
        <v>200000</v>
      </c>
      <c r="CS50" s="301" t="s">
        <v>5665</v>
      </c>
      <c r="CT50" s="59">
        <v>300</v>
      </c>
      <c r="CU50" s="310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5791</v>
      </c>
      <c r="CZ50" s="202" t="s">
        <v>5791</v>
      </c>
      <c r="DA50" s="202" t="s">
        <v>5791</v>
      </c>
      <c r="DB50" s="203" t="s">
        <v>5791</v>
      </c>
      <c r="DC50" s="201" t="s">
        <v>5791</v>
      </c>
      <c r="DD50" s="202" t="s">
        <v>5791</v>
      </c>
      <c r="DE50" s="203" t="s">
        <v>5791</v>
      </c>
      <c r="DF50" s="274" t="s">
        <v>5791</v>
      </c>
      <c r="DG50" s="310" t="s">
        <v>4422</v>
      </c>
      <c r="DH50" s="310">
        <v>640</v>
      </c>
      <c r="DI50" s="32">
        <v>730</v>
      </c>
      <c r="DJ50" s="310">
        <v>800</v>
      </c>
      <c r="DK50" s="32">
        <v>940</v>
      </c>
      <c r="DL50" s="60">
        <v>200000</v>
      </c>
      <c r="DM50" s="29" t="s">
        <v>15</v>
      </c>
      <c r="DN50" s="32" t="s">
        <v>4435</v>
      </c>
      <c r="DO50" s="306" t="s">
        <v>4565</v>
      </c>
    </row>
    <row r="51" spans="1:119">
      <c r="A51" s="295">
        <v>46</v>
      </c>
      <c r="B51" s="349"/>
      <c r="C51" s="349"/>
      <c r="D51" s="360"/>
      <c r="E51" s="360"/>
      <c r="F51" s="349"/>
      <c r="G51" s="349"/>
      <c r="H51" s="349"/>
      <c r="I51" s="349"/>
      <c r="J51" s="286" t="s">
        <v>4455</v>
      </c>
      <c r="K51" s="301" t="s">
        <v>4383</v>
      </c>
      <c r="L51" s="32" t="s">
        <v>5791</v>
      </c>
      <c r="M51" s="301" t="s">
        <v>4508</v>
      </c>
      <c r="N51" s="310" t="s">
        <v>4702</v>
      </c>
      <c r="O51" s="18" t="s">
        <v>4506</v>
      </c>
      <c r="P51" s="310" t="s">
        <v>4420</v>
      </c>
      <c r="Q51" s="310" t="s">
        <v>4420</v>
      </c>
      <c r="R51" s="310" t="s">
        <v>6164</v>
      </c>
      <c r="S51" s="32">
        <v>10</v>
      </c>
      <c r="T51" s="59" t="s">
        <v>4420</v>
      </c>
      <c r="U51" s="59" t="s">
        <v>5791</v>
      </c>
      <c r="V51" s="59" t="s">
        <v>4420</v>
      </c>
      <c r="W51" s="59" t="s">
        <v>5791</v>
      </c>
      <c r="X51" s="310" t="s">
        <v>4420</v>
      </c>
      <c r="Y51" s="310" t="s">
        <v>5791</v>
      </c>
      <c r="Z51" s="32" t="s">
        <v>4558</v>
      </c>
      <c r="AA51" s="72">
        <v>10</v>
      </c>
      <c r="AB51" s="224">
        <v>0</v>
      </c>
      <c r="AC51" s="140">
        <v>0</v>
      </c>
      <c r="AD51" s="301" t="s">
        <v>508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1" t="s">
        <v>498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1" t="s">
        <v>5806</v>
      </c>
      <c r="AX51" s="310" t="s">
        <v>6129</v>
      </c>
      <c r="AY51" s="310">
        <v>184</v>
      </c>
      <c r="AZ51" s="310">
        <v>22</v>
      </c>
      <c r="BA51" s="310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4420</v>
      </c>
      <c r="BH51" s="310" t="s">
        <v>4465</v>
      </c>
      <c r="BI51" s="310" t="s">
        <v>6204</v>
      </c>
      <c r="BJ51" s="310">
        <v>4</v>
      </c>
      <c r="BK51" s="310">
        <v>6</v>
      </c>
      <c r="BL51" s="196" t="s">
        <v>5791</v>
      </c>
      <c r="BM51" s="197" t="s">
        <v>5791</v>
      </c>
      <c r="BN51" s="197" t="s">
        <v>5791</v>
      </c>
      <c r="BO51" s="197" t="s">
        <v>5791</v>
      </c>
      <c r="BP51" s="197" t="s">
        <v>5791</v>
      </c>
      <c r="BQ51" s="197" t="s">
        <v>5791</v>
      </c>
      <c r="BR51" s="197" t="s">
        <v>5791</v>
      </c>
      <c r="BS51" s="197" t="s">
        <v>5791</v>
      </c>
      <c r="BT51" s="196" t="s">
        <v>5791</v>
      </c>
      <c r="BU51" s="197" t="s">
        <v>5791</v>
      </c>
      <c r="BV51" s="197" t="s">
        <v>5791</v>
      </c>
      <c r="BW51" s="197" t="s">
        <v>5791</v>
      </c>
      <c r="BX51" s="197" t="s">
        <v>5791</v>
      </c>
      <c r="BY51" s="197" t="s">
        <v>5791</v>
      </c>
      <c r="BZ51" s="212" t="s">
        <v>5791</v>
      </c>
      <c r="CA51" s="197" t="s">
        <v>5791</v>
      </c>
      <c r="CB51" s="197" t="s">
        <v>5791</v>
      </c>
      <c r="CC51" s="197" t="s">
        <v>5791</v>
      </c>
      <c r="CD51" s="197" t="s">
        <v>5791</v>
      </c>
      <c r="CE51" s="197" t="s">
        <v>5791</v>
      </c>
      <c r="CF51" s="212" t="s">
        <v>5791</v>
      </c>
      <c r="CG51" s="32" t="s">
        <v>5665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1" t="s">
        <v>5665</v>
      </c>
      <c r="CN51" s="59">
        <v>300</v>
      </c>
      <c r="CO51" s="310">
        <v>363</v>
      </c>
      <c r="CP51" s="59">
        <v>450</v>
      </c>
      <c r="CQ51" s="32">
        <f>CP51*1.2</f>
        <v>540</v>
      </c>
      <c r="CR51" s="66">
        <v>200000</v>
      </c>
      <c r="CS51" s="301" t="s">
        <v>5665</v>
      </c>
      <c r="CT51" s="59">
        <v>300</v>
      </c>
      <c r="CU51" s="310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5791</v>
      </c>
      <c r="CZ51" s="202" t="s">
        <v>5791</v>
      </c>
      <c r="DA51" s="202" t="s">
        <v>5791</v>
      </c>
      <c r="DB51" s="203" t="s">
        <v>5791</v>
      </c>
      <c r="DC51" s="201" t="s">
        <v>5791</v>
      </c>
      <c r="DD51" s="202" t="s">
        <v>5791</v>
      </c>
      <c r="DE51" s="203" t="s">
        <v>5791</v>
      </c>
      <c r="DF51" s="274" t="s">
        <v>5791</v>
      </c>
      <c r="DG51" s="310" t="s">
        <v>4422</v>
      </c>
      <c r="DH51" s="310">
        <v>640</v>
      </c>
      <c r="DI51" s="32">
        <v>730</v>
      </c>
      <c r="DJ51" s="310">
        <v>800</v>
      </c>
      <c r="DK51" s="32">
        <v>940</v>
      </c>
      <c r="DL51" s="60">
        <v>200000</v>
      </c>
      <c r="DM51" s="29" t="s">
        <v>4572</v>
      </c>
      <c r="DN51" s="32" t="s">
        <v>4435</v>
      </c>
      <c r="DO51" s="306" t="s">
        <v>4565</v>
      </c>
    </row>
    <row r="52" spans="1:119" ht="16.2" thickBot="1">
      <c r="A52" s="296">
        <v>47</v>
      </c>
      <c r="B52" s="350"/>
      <c r="C52" s="350"/>
      <c r="D52" s="372"/>
      <c r="E52" s="372"/>
      <c r="F52" s="350"/>
      <c r="G52" s="350"/>
      <c r="H52" s="350"/>
      <c r="I52" s="350"/>
      <c r="J52" s="285" t="s">
        <v>4456</v>
      </c>
      <c r="K52" s="308" t="s">
        <v>4383</v>
      </c>
      <c r="L52" s="34" t="s">
        <v>5791</v>
      </c>
      <c r="M52" s="308" t="s">
        <v>4508</v>
      </c>
      <c r="N52" s="311" t="s">
        <v>4702</v>
      </c>
      <c r="O52" s="14" t="s">
        <v>4506</v>
      </c>
      <c r="P52" s="311" t="s">
        <v>4420</v>
      </c>
      <c r="Q52" s="311" t="s">
        <v>4420</v>
      </c>
      <c r="R52" s="311" t="s">
        <v>6164</v>
      </c>
      <c r="S52" s="34">
        <v>10</v>
      </c>
      <c r="T52" s="86" t="s">
        <v>4420</v>
      </c>
      <c r="U52" s="86" t="s">
        <v>5791</v>
      </c>
      <c r="V52" s="86" t="s">
        <v>4420</v>
      </c>
      <c r="W52" s="86" t="s">
        <v>5791</v>
      </c>
      <c r="X52" s="311" t="s">
        <v>4420</v>
      </c>
      <c r="Y52" s="311" t="s">
        <v>5791</v>
      </c>
      <c r="Z52" s="34" t="s">
        <v>4558</v>
      </c>
      <c r="AA52" s="117">
        <v>10</v>
      </c>
      <c r="AB52" s="226">
        <v>0</v>
      </c>
      <c r="AC52" s="153">
        <v>0</v>
      </c>
      <c r="AD52" s="308" t="s">
        <v>508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8" t="s">
        <v>498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8" t="s">
        <v>5806</v>
      </c>
      <c r="AX52" s="311" t="s">
        <v>6129</v>
      </c>
      <c r="AY52" s="311">
        <v>180</v>
      </c>
      <c r="AZ52" s="311">
        <v>22</v>
      </c>
      <c r="BA52" s="311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4420</v>
      </c>
      <c r="BH52" s="311" t="s">
        <v>4465</v>
      </c>
      <c r="BI52" s="311" t="s">
        <v>6204</v>
      </c>
      <c r="BJ52" s="311">
        <v>4</v>
      </c>
      <c r="BK52" s="311">
        <v>6</v>
      </c>
      <c r="BL52" s="191" t="s">
        <v>5791</v>
      </c>
      <c r="BM52" s="192" t="s">
        <v>5791</v>
      </c>
      <c r="BN52" s="192" t="s">
        <v>5791</v>
      </c>
      <c r="BO52" s="192" t="s">
        <v>5791</v>
      </c>
      <c r="BP52" s="192" t="s">
        <v>5791</v>
      </c>
      <c r="BQ52" s="192" t="s">
        <v>5791</v>
      </c>
      <c r="BR52" s="192" t="s">
        <v>5791</v>
      </c>
      <c r="BS52" s="192" t="s">
        <v>5791</v>
      </c>
      <c r="BT52" s="191" t="s">
        <v>5791</v>
      </c>
      <c r="BU52" s="192" t="s">
        <v>5791</v>
      </c>
      <c r="BV52" s="192" t="s">
        <v>5791</v>
      </c>
      <c r="BW52" s="192" t="s">
        <v>5791</v>
      </c>
      <c r="BX52" s="192" t="s">
        <v>5791</v>
      </c>
      <c r="BY52" s="192" t="s">
        <v>5791</v>
      </c>
      <c r="BZ52" s="214" t="s">
        <v>5791</v>
      </c>
      <c r="CA52" s="192" t="s">
        <v>5791</v>
      </c>
      <c r="CB52" s="192" t="s">
        <v>5791</v>
      </c>
      <c r="CC52" s="192" t="s">
        <v>5791</v>
      </c>
      <c r="CD52" s="192" t="s">
        <v>5791</v>
      </c>
      <c r="CE52" s="192" t="s">
        <v>5791</v>
      </c>
      <c r="CF52" s="214" t="s">
        <v>5791</v>
      </c>
      <c r="CG52" s="34" t="s">
        <v>5665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8" t="s">
        <v>5665</v>
      </c>
      <c r="CN52" s="86">
        <v>300</v>
      </c>
      <c r="CO52" s="311">
        <v>363</v>
      </c>
      <c r="CP52" s="86">
        <v>450</v>
      </c>
      <c r="CQ52" s="34">
        <f>CP52*1.2</f>
        <v>540</v>
      </c>
      <c r="CR52" s="69">
        <v>200000</v>
      </c>
      <c r="CS52" s="308" t="s">
        <v>5665</v>
      </c>
      <c r="CT52" s="86">
        <v>300</v>
      </c>
      <c r="CU52" s="311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5791</v>
      </c>
      <c r="CZ52" s="205" t="s">
        <v>5791</v>
      </c>
      <c r="DA52" s="205" t="s">
        <v>5791</v>
      </c>
      <c r="DB52" s="206" t="s">
        <v>5791</v>
      </c>
      <c r="DC52" s="204" t="s">
        <v>5791</v>
      </c>
      <c r="DD52" s="205" t="s">
        <v>5791</v>
      </c>
      <c r="DE52" s="206" t="s">
        <v>5791</v>
      </c>
      <c r="DF52" s="275" t="s">
        <v>5791</v>
      </c>
      <c r="DG52" s="311" t="s">
        <v>4422</v>
      </c>
      <c r="DH52" s="311">
        <v>640</v>
      </c>
      <c r="DI52" s="34">
        <v>730</v>
      </c>
      <c r="DJ52" s="311">
        <v>800</v>
      </c>
      <c r="DK52" s="34">
        <v>940</v>
      </c>
      <c r="DL52" s="76">
        <v>200000</v>
      </c>
      <c r="DM52" s="27" t="s">
        <v>15</v>
      </c>
      <c r="DN52" s="34" t="s">
        <v>4435</v>
      </c>
      <c r="DO52" s="307" t="s">
        <v>4565</v>
      </c>
    </row>
    <row r="53" spans="1:119" ht="16.2" thickBot="1">
      <c r="A53" s="18">
        <v>48</v>
      </c>
      <c r="B53" s="295">
        <v>5</v>
      </c>
      <c r="C53" s="295">
        <v>1981</v>
      </c>
      <c r="D53" s="298" t="s">
        <v>4509</v>
      </c>
      <c r="E53" s="298" t="s">
        <v>4870</v>
      </c>
      <c r="F53" s="295">
        <v>1</v>
      </c>
      <c r="G53" s="295" t="s">
        <v>5900</v>
      </c>
      <c r="H53" s="295" t="s">
        <v>5899</v>
      </c>
      <c r="I53" s="295" t="s">
        <v>5682</v>
      </c>
      <c r="J53" s="286" t="s">
        <v>4510</v>
      </c>
      <c r="K53" s="301" t="s">
        <v>4383</v>
      </c>
      <c r="L53" s="311" t="s">
        <v>5791</v>
      </c>
      <c r="M53" s="106" t="s">
        <v>4508</v>
      </c>
      <c r="N53" s="32" t="s">
        <v>4702</v>
      </c>
      <c r="O53" s="18" t="s">
        <v>4506</v>
      </c>
      <c r="P53" s="308" t="s">
        <v>4420</v>
      </c>
      <c r="Q53" s="311" t="s">
        <v>4420</v>
      </c>
      <c r="R53" s="311" t="s">
        <v>4420</v>
      </c>
      <c r="S53" s="311" t="s">
        <v>5791</v>
      </c>
      <c r="T53" s="86" t="s">
        <v>4420</v>
      </c>
      <c r="U53" s="86" t="s">
        <v>5791</v>
      </c>
      <c r="V53" s="86" t="s">
        <v>4420</v>
      </c>
      <c r="W53" s="86" t="s">
        <v>5791</v>
      </c>
      <c r="X53" s="311" t="s">
        <v>4420</v>
      </c>
      <c r="Y53" s="311" t="s">
        <v>5791</v>
      </c>
      <c r="Z53" s="34" t="s">
        <v>4558</v>
      </c>
      <c r="AA53" s="117">
        <v>10</v>
      </c>
      <c r="AB53" s="224">
        <v>0</v>
      </c>
      <c r="AC53" s="140">
        <v>0</v>
      </c>
      <c r="AD53" s="308" t="s">
        <v>4352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462">
        <v>1200</v>
      </c>
      <c r="AJ53" s="301" t="s">
        <v>4240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1" t="s">
        <v>5806</v>
      </c>
      <c r="AX53" s="310" t="s">
        <v>4498</v>
      </c>
      <c r="AY53" s="310" t="s">
        <v>6129</v>
      </c>
      <c r="AZ53" s="310">
        <v>20</v>
      </c>
      <c r="BA53" s="310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4420</v>
      </c>
      <c r="BH53" s="310" t="s">
        <v>4465</v>
      </c>
      <c r="BI53" s="310" t="s">
        <v>4465</v>
      </c>
      <c r="BJ53" s="310">
        <v>4</v>
      </c>
      <c r="BK53" s="310">
        <v>10</v>
      </c>
      <c r="BL53" s="196" t="s">
        <v>5791</v>
      </c>
      <c r="BM53" s="197" t="s">
        <v>5791</v>
      </c>
      <c r="BN53" s="197" t="s">
        <v>5791</v>
      </c>
      <c r="BO53" s="197" t="s">
        <v>5791</v>
      </c>
      <c r="BP53" s="197" t="s">
        <v>5791</v>
      </c>
      <c r="BQ53" s="197" t="s">
        <v>5791</v>
      </c>
      <c r="BR53" s="197" t="s">
        <v>5791</v>
      </c>
      <c r="BS53" s="197" t="s">
        <v>5791</v>
      </c>
      <c r="BT53" s="196" t="s">
        <v>5791</v>
      </c>
      <c r="BU53" s="197" t="s">
        <v>5791</v>
      </c>
      <c r="BV53" s="197" t="s">
        <v>5791</v>
      </c>
      <c r="BW53" s="197" t="s">
        <v>5791</v>
      </c>
      <c r="BX53" s="197" t="s">
        <v>5791</v>
      </c>
      <c r="BY53" s="197" t="s">
        <v>5791</v>
      </c>
      <c r="BZ53" s="212" t="s">
        <v>5791</v>
      </c>
      <c r="CA53" s="197" t="s">
        <v>5791</v>
      </c>
      <c r="CB53" s="197" t="s">
        <v>5791</v>
      </c>
      <c r="CC53" s="197" t="s">
        <v>5791</v>
      </c>
      <c r="CD53" s="197" t="s">
        <v>5791</v>
      </c>
      <c r="CE53" s="197" t="s">
        <v>5791</v>
      </c>
      <c r="CF53" s="212" t="s">
        <v>5791</v>
      </c>
      <c r="CG53" s="32" t="s">
        <v>4449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4449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4449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5791</v>
      </c>
      <c r="CZ53" s="202" t="s">
        <v>5791</v>
      </c>
      <c r="DA53" s="202" t="s">
        <v>5791</v>
      </c>
      <c r="DB53" s="203" t="s">
        <v>5791</v>
      </c>
      <c r="DC53" s="201" t="s">
        <v>5791</v>
      </c>
      <c r="DD53" s="202" t="s">
        <v>5791</v>
      </c>
      <c r="DE53" s="203" t="s">
        <v>5791</v>
      </c>
      <c r="DF53" s="274" t="s">
        <v>5791</v>
      </c>
      <c r="DG53" s="310">
        <v>8.8000000000000007</v>
      </c>
      <c r="DH53" s="310">
        <v>640</v>
      </c>
      <c r="DI53" s="32">
        <v>730</v>
      </c>
      <c r="DJ53" s="310">
        <v>800</v>
      </c>
      <c r="DK53" s="32">
        <v>940</v>
      </c>
      <c r="DL53" s="60">
        <v>200000</v>
      </c>
      <c r="DM53" s="29" t="s">
        <v>4565</v>
      </c>
      <c r="DN53" s="310" t="s">
        <v>4560</v>
      </c>
      <c r="DO53" s="306" t="s">
        <v>4565</v>
      </c>
    </row>
    <row r="54" spans="1:119" ht="15.6" customHeight="1">
      <c r="A54" s="17">
        <v>49</v>
      </c>
      <c r="B54" s="348">
        <v>6</v>
      </c>
      <c r="C54" s="348">
        <v>1981</v>
      </c>
      <c r="D54" s="359" t="s">
        <v>4464</v>
      </c>
      <c r="E54" s="359" t="s">
        <v>5863</v>
      </c>
      <c r="F54" s="348">
        <v>23</v>
      </c>
      <c r="G54" s="348" t="s">
        <v>5897</v>
      </c>
      <c r="H54" s="348" t="s">
        <v>5896</v>
      </c>
      <c r="I54" s="348" t="s">
        <v>6219</v>
      </c>
      <c r="J54" s="284" t="s">
        <v>4411</v>
      </c>
      <c r="K54" s="300" t="s">
        <v>4383</v>
      </c>
      <c r="L54" s="310" t="s">
        <v>5791</v>
      </c>
      <c r="M54" s="300" t="s">
        <v>4508</v>
      </c>
      <c r="N54" s="309" t="s">
        <v>4702</v>
      </c>
      <c r="O54" s="17" t="s">
        <v>4506</v>
      </c>
      <c r="P54" s="310" t="s">
        <v>4420</v>
      </c>
      <c r="Q54" s="310" t="s">
        <v>4420</v>
      </c>
      <c r="R54" s="310" t="s">
        <v>4420</v>
      </c>
      <c r="S54" s="310" t="s">
        <v>5791</v>
      </c>
      <c r="T54" s="59" t="s">
        <v>4420</v>
      </c>
      <c r="U54" s="59" t="s">
        <v>5791</v>
      </c>
      <c r="V54" s="59" t="s">
        <v>4420</v>
      </c>
      <c r="W54" s="59" t="s">
        <v>5791</v>
      </c>
      <c r="X54" s="310" t="s">
        <v>4420</v>
      </c>
      <c r="Y54" s="310" t="s">
        <v>5791</v>
      </c>
      <c r="Z54" s="310" t="s">
        <v>4558</v>
      </c>
      <c r="AA54" s="18">
        <v>10</v>
      </c>
      <c r="AB54" s="225">
        <v>0</v>
      </c>
      <c r="AC54" s="152">
        <v>0</v>
      </c>
      <c r="AD54" s="300" t="s">
        <v>4021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300" t="s">
        <v>3997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230</v>
      </c>
      <c r="AT54" s="16">
        <v>290</v>
      </c>
      <c r="AU54" s="16">
        <f t="shared" ref="AU54:AU80" si="16">(AT54-AK54)-AV54</f>
        <v>0</v>
      </c>
      <c r="AV54" s="16">
        <v>0</v>
      </c>
      <c r="AW54" s="300" t="s">
        <v>5806</v>
      </c>
      <c r="AX54" s="309" t="s">
        <v>6129</v>
      </c>
      <c r="AY54" s="309">
        <v>48</v>
      </c>
      <c r="AZ54" s="309">
        <v>24</v>
      </c>
      <c r="BA54" s="309">
        <f t="shared" si="11"/>
        <v>353</v>
      </c>
      <c r="BB54" s="16">
        <v>55</v>
      </c>
      <c r="BC54" s="16">
        <v>55</v>
      </c>
      <c r="BD54" s="16">
        <v>0</v>
      </c>
      <c r="BE54" s="16">
        <v>120</v>
      </c>
      <c r="BF54" s="16">
        <v>180</v>
      </c>
      <c r="BG54" s="22" t="s">
        <v>4470</v>
      </c>
      <c r="BH54" s="309" t="s">
        <v>6204</v>
      </c>
      <c r="BI54" s="309" t="s">
        <v>6204</v>
      </c>
      <c r="BJ54" s="309">
        <v>2</v>
      </c>
      <c r="BK54" s="309">
        <v>4</v>
      </c>
      <c r="BL54" s="194" t="s">
        <v>5791</v>
      </c>
      <c r="BM54" s="195" t="s">
        <v>5791</v>
      </c>
      <c r="BN54" s="195" t="s">
        <v>5791</v>
      </c>
      <c r="BO54" s="195" t="s">
        <v>5791</v>
      </c>
      <c r="BP54" s="195" t="s">
        <v>5791</v>
      </c>
      <c r="BQ54" s="195" t="s">
        <v>5791</v>
      </c>
      <c r="BR54" s="195" t="s">
        <v>5791</v>
      </c>
      <c r="BS54" s="195" t="s">
        <v>5791</v>
      </c>
      <c r="BT54" s="194" t="s">
        <v>5791</v>
      </c>
      <c r="BU54" s="195" t="s">
        <v>5791</v>
      </c>
      <c r="BV54" s="195" t="s">
        <v>5791</v>
      </c>
      <c r="BW54" s="195" t="s">
        <v>5791</v>
      </c>
      <c r="BX54" s="195" t="s">
        <v>5791</v>
      </c>
      <c r="BY54" s="195" t="s">
        <v>5791</v>
      </c>
      <c r="BZ54" s="213" t="s">
        <v>5791</v>
      </c>
      <c r="CA54" s="195" t="s">
        <v>5791</v>
      </c>
      <c r="CB54" s="195" t="s">
        <v>5791</v>
      </c>
      <c r="CC54" s="195" t="s">
        <v>5791</v>
      </c>
      <c r="CD54" s="195" t="s">
        <v>5791</v>
      </c>
      <c r="CE54" s="195" t="s">
        <v>5791</v>
      </c>
      <c r="CF54" s="213" t="s">
        <v>5791</v>
      </c>
      <c r="CG54" s="30" t="s">
        <v>4449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4449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4449</v>
      </c>
      <c r="CT54" s="71">
        <v>235</v>
      </c>
      <c r="CU54" s="309">
        <v>294</v>
      </c>
      <c r="CV54" s="64">
        <v>360</v>
      </c>
      <c r="CW54" s="30">
        <v>450</v>
      </c>
      <c r="CX54" s="75">
        <v>200000</v>
      </c>
      <c r="CY54" s="198" t="s">
        <v>5791</v>
      </c>
      <c r="CZ54" s="199" t="s">
        <v>5791</v>
      </c>
      <c r="DA54" s="199" t="s">
        <v>5791</v>
      </c>
      <c r="DB54" s="200" t="s">
        <v>5791</v>
      </c>
      <c r="DC54" s="198" t="s">
        <v>5791</v>
      </c>
      <c r="DD54" s="199" t="s">
        <v>5791</v>
      </c>
      <c r="DE54" s="200" t="s">
        <v>5791</v>
      </c>
      <c r="DF54" s="273" t="s">
        <v>5791</v>
      </c>
      <c r="DG54" s="309">
        <v>8.8000000000000007</v>
      </c>
      <c r="DH54" s="309">
        <v>640</v>
      </c>
      <c r="DI54" s="30">
        <v>730</v>
      </c>
      <c r="DJ54" s="309">
        <v>800</v>
      </c>
      <c r="DK54" s="30">
        <v>940</v>
      </c>
      <c r="DL54" s="75">
        <v>200000</v>
      </c>
      <c r="DM54" s="28" t="s">
        <v>4572</v>
      </c>
      <c r="DN54" s="309" t="s">
        <v>6053</v>
      </c>
      <c r="DO54" s="305" t="s">
        <v>4565</v>
      </c>
    </row>
    <row r="55" spans="1:119">
      <c r="A55" s="18">
        <v>50</v>
      </c>
      <c r="B55" s="349"/>
      <c r="C55" s="349"/>
      <c r="D55" s="360"/>
      <c r="E55" s="360"/>
      <c r="F55" s="349"/>
      <c r="G55" s="349"/>
      <c r="H55" s="349"/>
      <c r="I55" s="349"/>
      <c r="J55" s="286" t="s">
        <v>4412</v>
      </c>
      <c r="K55" s="301" t="s">
        <v>4383</v>
      </c>
      <c r="L55" s="310" t="s">
        <v>5791</v>
      </c>
      <c r="M55" s="301" t="s">
        <v>4508</v>
      </c>
      <c r="N55" s="310" t="s">
        <v>4702</v>
      </c>
      <c r="O55" s="18" t="s">
        <v>4506</v>
      </c>
      <c r="P55" s="310" t="s">
        <v>4420</v>
      </c>
      <c r="Q55" s="310" t="s">
        <v>4420</v>
      </c>
      <c r="R55" s="310" t="s">
        <v>4420</v>
      </c>
      <c r="S55" s="310" t="s">
        <v>5791</v>
      </c>
      <c r="T55" s="59" t="s">
        <v>4420</v>
      </c>
      <c r="U55" s="59" t="s">
        <v>5791</v>
      </c>
      <c r="V55" s="59" t="s">
        <v>4420</v>
      </c>
      <c r="W55" s="59" t="s">
        <v>5791</v>
      </c>
      <c r="X55" s="310" t="s">
        <v>4420</v>
      </c>
      <c r="Y55" s="310" t="s">
        <v>5791</v>
      </c>
      <c r="Z55" s="310" t="s">
        <v>4558</v>
      </c>
      <c r="AA55" s="18">
        <v>10</v>
      </c>
      <c r="AB55" s="224">
        <v>0</v>
      </c>
      <c r="AC55" s="140">
        <v>0</v>
      </c>
      <c r="AD55" s="301" t="s">
        <v>4021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1" t="s">
        <v>3997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230</v>
      </c>
      <c r="AT55" s="21">
        <v>290</v>
      </c>
      <c r="AU55" s="21">
        <f t="shared" si="16"/>
        <v>0</v>
      </c>
      <c r="AV55" s="21">
        <v>0</v>
      </c>
      <c r="AW55" s="301" t="s">
        <v>5806</v>
      </c>
      <c r="AX55" s="310" t="s">
        <v>6129</v>
      </c>
      <c r="AY55" s="310">
        <v>40</v>
      </c>
      <c r="AZ55" s="310">
        <v>24</v>
      </c>
      <c r="BA55" s="310">
        <f t="shared" si="11"/>
        <v>353</v>
      </c>
      <c r="BB55" s="21">
        <v>55</v>
      </c>
      <c r="BC55" s="21">
        <v>55</v>
      </c>
      <c r="BD55" s="21">
        <v>0</v>
      </c>
      <c r="BE55" s="21">
        <v>120</v>
      </c>
      <c r="BF55" s="21">
        <v>180</v>
      </c>
      <c r="BG55" s="15" t="s">
        <v>4470</v>
      </c>
      <c r="BH55" s="310" t="s">
        <v>6204</v>
      </c>
      <c r="BI55" s="310" t="s">
        <v>6204</v>
      </c>
      <c r="BJ55" s="310">
        <v>2</v>
      </c>
      <c r="BK55" s="310">
        <v>4</v>
      </c>
      <c r="BL55" s="196" t="s">
        <v>5791</v>
      </c>
      <c r="BM55" s="197" t="s">
        <v>5791</v>
      </c>
      <c r="BN55" s="197" t="s">
        <v>5791</v>
      </c>
      <c r="BO55" s="197" t="s">
        <v>5791</v>
      </c>
      <c r="BP55" s="197" t="s">
        <v>5791</v>
      </c>
      <c r="BQ55" s="197" t="s">
        <v>5791</v>
      </c>
      <c r="BR55" s="197" t="s">
        <v>5791</v>
      </c>
      <c r="BS55" s="197" t="s">
        <v>5791</v>
      </c>
      <c r="BT55" s="196" t="s">
        <v>5791</v>
      </c>
      <c r="BU55" s="197" t="s">
        <v>5791</v>
      </c>
      <c r="BV55" s="197" t="s">
        <v>5791</v>
      </c>
      <c r="BW55" s="197" t="s">
        <v>5791</v>
      </c>
      <c r="BX55" s="197" t="s">
        <v>5791</v>
      </c>
      <c r="BY55" s="197" t="s">
        <v>5791</v>
      </c>
      <c r="BZ55" s="212" t="s">
        <v>5791</v>
      </c>
      <c r="CA55" s="197" t="s">
        <v>5791</v>
      </c>
      <c r="CB55" s="197" t="s">
        <v>5791</v>
      </c>
      <c r="CC55" s="197" t="s">
        <v>5791</v>
      </c>
      <c r="CD55" s="197" t="s">
        <v>5791</v>
      </c>
      <c r="CE55" s="197" t="s">
        <v>5791</v>
      </c>
      <c r="CF55" s="212" t="s">
        <v>5791</v>
      </c>
      <c r="CG55" s="32" t="s">
        <v>4449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4449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4449</v>
      </c>
      <c r="CT55" s="46">
        <v>235</v>
      </c>
      <c r="CU55" s="310">
        <v>286</v>
      </c>
      <c r="CV55" s="59">
        <v>360</v>
      </c>
      <c r="CW55" s="32">
        <v>450</v>
      </c>
      <c r="CX55" s="60">
        <v>200000</v>
      </c>
      <c r="CY55" s="201" t="s">
        <v>5791</v>
      </c>
      <c r="CZ55" s="202" t="s">
        <v>5791</v>
      </c>
      <c r="DA55" s="202" t="s">
        <v>5791</v>
      </c>
      <c r="DB55" s="203" t="s">
        <v>5791</v>
      </c>
      <c r="DC55" s="201" t="s">
        <v>5791</v>
      </c>
      <c r="DD55" s="202" t="s">
        <v>5791</v>
      </c>
      <c r="DE55" s="203" t="s">
        <v>5791</v>
      </c>
      <c r="DF55" s="274" t="s">
        <v>5791</v>
      </c>
      <c r="DG55" s="310">
        <v>8.8000000000000007</v>
      </c>
      <c r="DH55" s="310">
        <v>640</v>
      </c>
      <c r="DI55" s="32">
        <v>730</v>
      </c>
      <c r="DJ55" s="310">
        <v>800</v>
      </c>
      <c r="DK55" s="32">
        <v>940</v>
      </c>
      <c r="DL55" s="60">
        <v>200000</v>
      </c>
      <c r="DM55" s="29" t="s">
        <v>4572</v>
      </c>
      <c r="DN55" s="310" t="s">
        <v>6053</v>
      </c>
      <c r="DO55" s="306" t="s">
        <v>4565</v>
      </c>
    </row>
    <row r="56" spans="1:119">
      <c r="A56" s="18">
        <v>51</v>
      </c>
      <c r="B56" s="349"/>
      <c r="C56" s="349"/>
      <c r="D56" s="360"/>
      <c r="E56" s="360"/>
      <c r="F56" s="349"/>
      <c r="G56" s="349"/>
      <c r="H56" s="349"/>
      <c r="I56" s="349"/>
      <c r="J56" s="286" t="s">
        <v>4413</v>
      </c>
      <c r="K56" s="301" t="s">
        <v>4383</v>
      </c>
      <c r="L56" s="310" t="s">
        <v>5791</v>
      </c>
      <c r="M56" s="301" t="s">
        <v>4508</v>
      </c>
      <c r="N56" s="310" t="s">
        <v>4702</v>
      </c>
      <c r="O56" s="18" t="s">
        <v>4506</v>
      </c>
      <c r="P56" s="310" t="s">
        <v>4420</v>
      </c>
      <c r="Q56" s="310" t="s">
        <v>4420</v>
      </c>
      <c r="R56" s="310" t="s">
        <v>4420</v>
      </c>
      <c r="S56" s="310" t="s">
        <v>5791</v>
      </c>
      <c r="T56" s="59" t="s">
        <v>4420</v>
      </c>
      <c r="U56" s="59" t="s">
        <v>5791</v>
      </c>
      <c r="V56" s="59" t="s">
        <v>4420</v>
      </c>
      <c r="W56" s="59" t="s">
        <v>5791</v>
      </c>
      <c r="X56" s="310" t="s">
        <v>4420</v>
      </c>
      <c r="Y56" s="310" t="s">
        <v>5791</v>
      </c>
      <c r="Z56" s="310" t="s">
        <v>4558</v>
      </c>
      <c r="AA56" s="18">
        <v>10</v>
      </c>
      <c r="AB56" s="224">
        <v>0</v>
      </c>
      <c r="AC56" s="140">
        <v>0</v>
      </c>
      <c r="AD56" s="301" t="s">
        <v>4021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1" t="s">
        <v>3997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230</v>
      </c>
      <c r="AT56" s="21">
        <v>290</v>
      </c>
      <c r="AU56" s="21">
        <f t="shared" si="16"/>
        <v>0</v>
      </c>
      <c r="AV56" s="21">
        <v>0</v>
      </c>
      <c r="AW56" s="301" t="s">
        <v>5806</v>
      </c>
      <c r="AX56" s="310" t="s">
        <v>6129</v>
      </c>
      <c r="AY56" s="310">
        <v>44</v>
      </c>
      <c r="AZ56" s="310">
        <v>24</v>
      </c>
      <c r="BA56" s="310">
        <f t="shared" si="11"/>
        <v>353</v>
      </c>
      <c r="BB56" s="21">
        <v>75</v>
      </c>
      <c r="BC56" s="21">
        <v>75</v>
      </c>
      <c r="BD56" s="21">
        <v>0</v>
      </c>
      <c r="BE56" s="21">
        <v>120</v>
      </c>
      <c r="BF56" s="21">
        <v>140</v>
      </c>
      <c r="BG56" s="15" t="s">
        <v>4470</v>
      </c>
      <c r="BH56" s="310" t="s">
        <v>6204</v>
      </c>
      <c r="BI56" s="310" t="s">
        <v>6204</v>
      </c>
      <c r="BJ56" s="310">
        <v>2</v>
      </c>
      <c r="BK56" s="310">
        <v>4</v>
      </c>
      <c r="BL56" s="196" t="s">
        <v>5791</v>
      </c>
      <c r="BM56" s="197" t="s">
        <v>5791</v>
      </c>
      <c r="BN56" s="197" t="s">
        <v>5791</v>
      </c>
      <c r="BO56" s="197" t="s">
        <v>5791</v>
      </c>
      <c r="BP56" s="197" t="s">
        <v>5791</v>
      </c>
      <c r="BQ56" s="197" t="s">
        <v>5791</v>
      </c>
      <c r="BR56" s="197" t="s">
        <v>5791</v>
      </c>
      <c r="BS56" s="197" t="s">
        <v>5791</v>
      </c>
      <c r="BT56" s="196" t="s">
        <v>5791</v>
      </c>
      <c r="BU56" s="197" t="s">
        <v>5791</v>
      </c>
      <c r="BV56" s="197" t="s">
        <v>5791</v>
      </c>
      <c r="BW56" s="197" t="s">
        <v>5791</v>
      </c>
      <c r="BX56" s="197" t="s">
        <v>5791</v>
      </c>
      <c r="BY56" s="197" t="s">
        <v>5791</v>
      </c>
      <c r="BZ56" s="212" t="s">
        <v>5791</v>
      </c>
      <c r="CA56" s="197" t="s">
        <v>5791</v>
      </c>
      <c r="CB56" s="197" t="s">
        <v>5791</v>
      </c>
      <c r="CC56" s="197" t="s">
        <v>5791</v>
      </c>
      <c r="CD56" s="197" t="s">
        <v>5791</v>
      </c>
      <c r="CE56" s="197" t="s">
        <v>5791</v>
      </c>
      <c r="CF56" s="212" t="s">
        <v>5791</v>
      </c>
      <c r="CG56" s="32" t="s">
        <v>4449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4449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4449</v>
      </c>
      <c r="CT56" s="46">
        <v>235</v>
      </c>
      <c r="CU56" s="310">
        <v>294</v>
      </c>
      <c r="CV56" s="59">
        <v>360</v>
      </c>
      <c r="CW56" s="32">
        <v>450</v>
      </c>
      <c r="CX56" s="60">
        <v>200000</v>
      </c>
      <c r="CY56" s="201" t="s">
        <v>5791</v>
      </c>
      <c r="CZ56" s="202" t="s">
        <v>5791</v>
      </c>
      <c r="DA56" s="202" t="s">
        <v>5791</v>
      </c>
      <c r="DB56" s="203" t="s">
        <v>5791</v>
      </c>
      <c r="DC56" s="201" t="s">
        <v>5791</v>
      </c>
      <c r="DD56" s="202" t="s">
        <v>5791</v>
      </c>
      <c r="DE56" s="203" t="s">
        <v>5791</v>
      </c>
      <c r="DF56" s="274" t="s">
        <v>5791</v>
      </c>
      <c r="DG56" s="310">
        <v>8.8000000000000007</v>
      </c>
      <c r="DH56" s="310">
        <v>640</v>
      </c>
      <c r="DI56" s="32">
        <v>730</v>
      </c>
      <c r="DJ56" s="310">
        <v>800</v>
      </c>
      <c r="DK56" s="32">
        <v>940</v>
      </c>
      <c r="DL56" s="60">
        <v>200000</v>
      </c>
      <c r="DM56" s="29" t="s">
        <v>4572</v>
      </c>
      <c r="DN56" s="310" t="s">
        <v>6053</v>
      </c>
      <c r="DO56" s="306" t="s">
        <v>4565</v>
      </c>
    </row>
    <row r="57" spans="1:119">
      <c r="A57" s="18">
        <v>52</v>
      </c>
      <c r="B57" s="349"/>
      <c r="C57" s="349"/>
      <c r="D57" s="360"/>
      <c r="E57" s="360"/>
      <c r="F57" s="349"/>
      <c r="G57" s="349"/>
      <c r="H57" s="349"/>
      <c r="I57" s="349"/>
      <c r="J57" s="286" t="s">
        <v>4414</v>
      </c>
      <c r="K57" s="301" t="s">
        <v>4383</v>
      </c>
      <c r="L57" s="310" t="s">
        <v>5791</v>
      </c>
      <c r="M57" s="301" t="s">
        <v>4508</v>
      </c>
      <c r="N57" s="310" t="s">
        <v>4702</v>
      </c>
      <c r="O57" s="18" t="s">
        <v>4506</v>
      </c>
      <c r="P57" s="310" t="s">
        <v>4420</v>
      </c>
      <c r="Q57" s="310" t="s">
        <v>4420</v>
      </c>
      <c r="R57" s="310" t="s">
        <v>4420</v>
      </c>
      <c r="S57" s="310" t="s">
        <v>5791</v>
      </c>
      <c r="T57" s="59" t="s">
        <v>4420</v>
      </c>
      <c r="U57" s="59" t="s">
        <v>5791</v>
      </c>
      <c r="V57" s="59" t="s">
        <v>4420</v>
      </c>
      <c r="W57" s="59" t="s">
        <v>5791</v>
      </c>
      <c r="X57" s="310" t="s">
        <v>4420</v>
      </c>
      <c r="Y57" s="310" t="s">
        <v>5791</v>
      </c>
      <c r="Z57" s="310" t="s">
        <v>4558</v>
      </c>
      <c r="AA57" s="18">
        <v>10</v>
      </c>
      <c r="AB57" s="224">
        <v>0</v>
      </c>
      <c r="AC57" s="140">
        <v>0</v>
      </c>
      <c r="AD57" s="301" t="s">
        <v>4021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1" t="s">
        <v>3997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230</v>
      </c>
      <c r="AT57" s="21">
        <v>290</v>
      </c>
      <c r="AU57" s="21">
        <f t="shared" si="16"/>
        <v>0</v>
      </c>
      <c r="AV57" s="21">
        <v>0</v>
      </c>
      <c r="AW57" s="301" t="s">
        <v>5806</v>
      </c>
      <c r="AX57" s="310" t="s">
        <v>6129</v>
      </c>
      <c r="AY57" s="310">
        <v>36</v>
      </c>
      <c r="AZ57" s="310">
        <v>24</v>
      </c>
      <c r="BA57" s="310">
        <f t="shared" si="11"/>
        <v>353</v>
      </c>
      <c r="BB57" s="21">
        <v>75</v>
      </c>
      <c r="BC57" s="21">
        <v>75</v>
      </c>
      <c r="BD57" s="21">
        <v>0</v>
      </c>
      <c r="BE57" s="21">
        <v>120</v>
      </c>
      <c r="BF57" s="21">
        <v>140</v>
      </c>
      <c r="BG57" s="15" t="s">
        <v>4470</v>
      </c>
      <c r="BH57" s="310" t="s">
        <v>6204</v>
      </c>
      <c r="BI57" s="310" t="s">
        <v>6204</v>
      </c>
      <c r="BJ57" s="310">
        <v>2</v>
      </c>
      <c r="BK57" s="310">
        <v>4</v>
      </c>
      <c r="BL57" s="196" t="s">
        <v>5791</v>
      </c>
      <c r="BM57" s="197" t="s">
        <v>5791</v>
      </c>
      <c r="BN57" s="197" t="s">
        <v>5791</v>
      </c>
      <c r="BO57" s="197" t="s">
        <v>5791</v>
      </c>
      <c r="BP57" s="197" t="s">
        <v>5791</v>
      </c>
      <c r="BQ57" s="197" t="s">
        <v>5791</v>
      </c>
      <c r="BR57" s="197" t="s">
        <v>5791</v>
      </c>
      <c r="BS57" s="197" t="s">
        <v>5791</v>
      </c>
      <c r="BT57" s="196" t="s">
        <v>5791</v>
      </c>
      <c r="BU57" s="197" t="s">
        <v>5791</v>
      </c>
      <c r="BV57" s="197" t="s">
        <v>5791</v>
      </c>
      <c r="BW57" s="197" t="s">
        <v>5791</v>
      </c>
      <c r="BX57" s="197" t="s">
        <v>5791</v>
      </c>
      <c r="BY57" s="197" t="s">
        <v>5791</v>
      </c>
      <c r="BZ57" s="212" t="s">
        <v>5791</v>
      </c>
      <c r="CA57" s="197" t="s">
        <v>5791</v>
      </c>
      <c r="CB57" s="197" t="s">
        <v>5791</v>
      </c>
      <c r="CC57" s="197" t="s">
        <v>5791</v>
      </c>
      <c r="CD57" s="197" t="s">
        <v>5791</v>
      </c>
      <c r="CE57" s="197" t="s">
        <v>5791</v>
      </c>
      <c r="CF57" s="212" t="s">
        <v>5791</v>
      </c>
      <c r="CG57" s="32" t="s">
        <v>4449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4449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4449</v>
      </c>
      <c r="CT57" s="46">
        <v>235</v>
      </c>
      <c r="CU57" s="310">
        <v>286</v>
      </c>
      <c r="CV57" s="59">
        <v>360</v>
      </c>
      <c r="CW57" s="32">
        <v>450</v>
      </c>
      <c r="CX57" s="60">
        <v>200000</v>
      </c>
      <c r="CY57" s="201" t="s">
        <v>5791</v>
      </c>
      <c r="CZ57" s="202" t="s">
        <v>5791</v>
      </c>
      <c r="DA57" s="202" t="s">
        <v>5791</v>
      </c>
      <c r="DB57" s="203" t="s">
        <v>5791</v>
      </c>
      <c r="DC57" s="201" t="s">
        <v>5791</v>
      </c>
      <c r="DD57" s="202" t="s">
        <v>5791</v>
      </c>
      <c r="DE57" s="203" t="s">
        <v>5791</v>
      </c>
      <c r="DF57" s="274" t="s">
        <v>5791</v>
      </c>
      <c r="DG57" s="310">
        <v>8.8000000000000007</v>
      </c>
      <c r="DH57" s="310">
        <v>640</v>
      </c>
      <c r="DI57" s="32">
        <v>730</v>
      </c>
      <c r="DJ57" s="310">
        <v>800</v>
      </c>
      <c r="DK57" s="32">
        <v>940</v>
      </c>
      <c r="DL57" s="60">
        <v>200000</v>
      </c>
      <c r="DM57" s="29" t="s">
        <v>4572</v>
      </c>
      <c r="DN57" s="310" t="s">
        <v>6053</v>
      </c>
      <c r="DO57" s="306" t="s">
        <v>4565</v>
      </c>
    </row>
    <row r="58" spans="1:119">
      <c r="A58" s="18">
        <v>53</v>
      </c>
      <c r="B58" s="349"/>
      <c r="C58" s="349"/>
      <c r="D58" s="360"/>
      <c r="E58" s="360"/>
      <c r="F58" s="349"/>
      <c r="G58" s="349"/>
      <c r="H58" s="349"/>
      <c r="I58" s="349"/>
      <c r="J58" s="286" t="s">
        <v>4415</v>
      </c>
      <c r="K58" s="301" t="s">
        <v>4383</v>
      </c>
      <c r="L58" s="310" t="s">
        <v>5791</v>
      </c>
      <c r="M58" s="301" t="s">
        <v>4508</v>
      </c>
      <c r="N58" s="310" t="s">
        <v>4702</v>
      </c>
      <c r="O58" s="18" t="s">
        <v>4506</v>
      </c>
      <c r="P58" s="310" t="s">
        <v>4420</v>
      </c>
      <c r="Q58" s="310" t="s">
        <v>4420</v>
      </c>
      <c r="R58" s="310" t="s">
        <v>4420</v>
      </c>
      <c r="S58" s="310" t="s">
        <v>5791</v>
      </c>
      <c r="T58" s="59" t="s">
        <v>4420</v>
      </c>
      <c r="U58" s="59" t="s">
        <v>5791</v>
      </c>
      <c r="V58" s="59" t="s">
        <v>4420</v>
      </c>
      <c r="W58" s="59" t="s">
        <v>5791</v>
      </c>
      <c r="X58" s="310" t="s">
        <v>4420</v>
      </c>
      <c r="Y58" s="310" t="s">
        <v>5791</v>
      </c>
      <c r="Z58" s="310" t="s">
        <v>4558</v>
      </c>
      <c r="AA58" s="18">
        <v>10</v>
      </c>
      <c r="AB58" s="224">
        <v>0</v>
      </c>
      <c r="AC58" s="140">
        <v>0</v>
      </c>
      <c r="AD58" s="301" t="s">
        <v>4021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1" t="s">
        <v>3997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230</v>
      </c>
      <c r="AT58" s="21">
        <v>290</v>
      </c>
      <c r="AU58" s="21">
        <f t="shared" si="16"/>
        <v>0</v>
      </c>
      <c r="AV58" s="21">
        <v>0</v>
      </c>
      <c r="AW58" s="301" t="s">
        <v>5806</v>
      </c>
      <c r="AX58" s="310" t="s">
        <v>6129</v>
      </c>
      <c r="AY58" s="310">
        <v>72</v>
      </c>
      <c r="AZ58" s="310">
        <v>24</v>
      </c>
      <c r="BA58" s="310">
        <f t="shared" si="11"/>
        <v>353</v>
      </c>
      <c r="BB58" s="21">
        <v>55</v>
      </c>
      <c r="BC58" s="21">
        <v>55</v>
      </c>
      <c r="BD58" s="21">
        <v>0</v>
      </c>
      <c r="BE58" s="21">
        <v>120</v>
      </c>
      <c r="BF58" s="21">
        <v>180</v>
      </c>
      <c r="BG58" s="15" t="s">
        <v>4470</v>
      </c>
      <c r="BH58" s="310" t="s">
        <v>6204</v>
      </c>
      <c r="BI58" s="310" t="s">
        <v>6204</v>
      </c>
      <c r="BJ58" s="310">
        <v>2</v>
      </c>
      <c r="BK58" s="310">
        <v>4</v>
      </c>
      <c r="BL58" s="196" t="s">
        <v>5791</v>
      </c>
      <c r="BM58" s="197" t="s">
        <v>5791</v>
      </c>
      <c r="BN58" s="197" t="s">
        <v>5791</v>
      </c>
      <c r="BO58" s="197" t="s">
        <v>5791</v>
      </c>
      <c r="BP58" s="197" t="s">
        <v>5791</v>
      </c>
      <c r="BQ58" s="197" t="s">
        <v>5791</v>
      </c>
      <c r="BR58" s="197" t="s">
        <v>5791</v>
      </c>
      <c r="BS58" s="197" t="s">
        <v>5791</v>
      </c>
      <c r="BT58" s="196" t="s">
        <v>5791</v>
      </c>
      <c r="BU58" s="197" t="s">
        <v>5791</v>
      </c>
      <c r="BV58" s="197" t="s">
        <v>5791</v>
      </c>
      <c r="BW58" s="197" t="s">
        <v>5791</v>
      </c>
      <c r="BX58" s="197" t="s">
        <v>5791</v>
      </c>
      <c r="BY58" s="197" t="s">
        <v>5791</v>
      </c>
      <c r="BZ58" s="212" t="s">
        <v>5791</v>
      </c>
      <c r="CA58" s="197" t="s">
        <v>5791</v>
      </c>
      <c r="CB58" s="197" t="s">
        <v>5791</v>
      </c>
      <c r="CC58" s="197" t="s">
        <v>5791</v>
      </c>
      <c r="CD58" s="197" t="s">
        <v>5791</v>
      </c>
      <c r="CE58" s="197" t="s">
        <v>5791</v>
      </c>
      <c r="CF58" s="212" t="s">
        <v>5791</v>
      </c>
      <c r="CG58" s="32" t="s">
        <v>4449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4449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4449</v>
      </c>
      <c r="CT58" s="46">
        <v>235</v>
      </c>
      <c r="CU58" s="310">
        <v>294</v>
      </c>
      <c r="CV58" s="59">
        <v>360</v>
      </c>
      <c r="CW58" s="32">
        <v>450</v>
      </c>
      <c r="CX58" s="60">
        <v>200000</v>
      </c>
      <c r="CY58" s="201" t="s">
        <v>5791</v>
      </c>
      <c r="CZ58" s="202" t="s">
        <v>5791</v>
      </c>
      <c r="DA58" s="202" t="s">
        <v>5791</v>
      </c>
      <c r="DB58" s="203" t="s">
        <v>5791</v>
      </c>
      <c r="DC58" s="201" t="s">
        <v>5791</v>
      </c>
      <c r="DD58" s="202" t="s">
        <v>5791</v>
      </c>
      <c r="DE58" s="203" t="s">
        <v>5791</v>
      </c>
      <c r="DF58" s="274" t="s">
        <v>5791</v>
      </c>
      <c r="DG58" s="310">
        <v>8.8000000000000007</v>
      </c>
      <c r="DH58" s="310">
        <v>640</v>
      </c>
      <c r="DI58" s="32">
        <v>730</v>
      </c>
      <c r="DJ58" s="310">
        <v>800</v>
      </c>
      <c r="DK58" s="32">
        <v>940</v>
      </c>
      <c r="DL58" s="60">
        <v>200000</v>
      </c>
      <c r="DM58" s="29" t="s">
        <v>4572</v>
      </c>
      <c r="DN58" s="310" t="s">
        <v>6053</v>
      </c>
      <c r="DO58" s="306" t="s">
        <v>4565</v>
      </c>
    </row>
    <row r="59" spans="1:119">
      <c r="A59" s="18">
        <v>54</v>
      </c>
      <c r="B59" s="349"/>
      <c r="C59" s="349"/>
      <c r="D59" s="360"/>
      <c r="E59" s="360"/>
      <c r="F59" s="349"/>
      <c r="G59" s="349"/>
      <c r="H59" s="349"/>
      <c r="I59" s="349"/>
      <c r="J59" s="286" t="s">
        <v>4416</v>
      </c>
      <c r="K59" s="301" t="s">
        <v>4383</v>
      </c>
      <c r="L59" s="310" t="s">
        <v>5791</v>
      </c>
      <c r="M59" s="301" t="s">
        <v>4508</v>
      </c>
      <c r="N59" s="310" t="s">
        <v>4702</v>
      </c>
      <c r="O59" s="18" t="s">
        <v>4506</v>
      </c>
      <c r="P59" s="310" t="s">
        <v>4420</v>
      </c>
      <c r="Q59" s="310" t="s">
        <v>4420</v>
      </c>
      <c r="R59" s="310" t="s">
        <v>4420</v>
      </c>
      <c r="S59" s="310" t="s">
        <v>5791</v>
      </c>
      <c r="T59" s="59" t="s">
        <v>4420</v>
      </c>
      <c r="U59" s="59" t="s">
        <v>5791</v>
      </c>
      <c r="V59" s="59" t="s">
        <v>4420</v>
      </c>
      <c r="W59" s="59" t="s">
        <v>5791</v>
      </c>
      <c r="X59" s="310" t="s">
        <v>4420</v>
      </c>
      <c r="Y59" s="310" t="s">
        <v>5791</v>
      </c>
      <c r="Z59" s="310" t="s">
        <v>4558</v>
      </c>
      <c r="AA59" s="18">
        <v>6</v>
      </c>
      <c r="AB59" s="224">
        <v>0</v>
      </c>
      <c r="AC59" s="140">
        <v>0</v>
      </c>
      <c r="AD59" s="301" t="s">
        <v>4021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1" t="s">
        <v>3997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230</v>
      </c>
      <c r="AT59" s="21">
        <v>290</v>
      </c>
      <c r="AU59" s="21">
        <f t="shared" si="16"/>
        <v>0</v>
      </c>
      <c r="AV59" s="21">
        <v>0</v>
      </c>
      <c r="AW59" s="301" t="s">
        <v>5806</v>
      </c>
      <c r="AX59" s="310" t="s">
        <v>6129</v>
      </c>
      <c r="AY59" s="310">
        <v>40</v>
      </c>
      <c r="AZ59" s="310">
        <v>24</v>
      </c>
      <c r="BA59" s="310">
        <f t="shared" si="11"/>
        <v>353</v>
      </c>
      <c r="BB59" s="21">
        <v>55</v>
      </c>
      <c r="BC59" s="21">
        <v>55</v>
      </c>
      <c r="BD59" s="21">
        <v>0</v>
      </c>
      <c r="BE59" s="21">
        <v>120</v>
      </c>
      <c r="BF59" s="21">
        <v>180</v>
      </c>
      <c r="BG59" s="15" t="s">
        <v>4470</v>
      </c>
      <c r="BH59" s="310" t="s">
        <v>6204</v>
      </c>
      <c r="BI59" s="310" t="s">
        <v>6204</v>
      </c>
      <c r="BJ59" s="310">
        <v>2</v>
      </c>
      <c r="BK59" s="310">
        <v>4</v>
      </c>
      <c r="BL59" s="196" t="s">
        <v>5791</v>
      </c>
      <c r="BM59" s="197" t="s">
        <v>5791</v>
      </c>
      <c r="BN59" s="197" t="s">
        <v>5791</v>
      </c>
      <c r="BO59" s="197" t="s">
        <v>5791</v>
      </c>
      <c r="BP59" s="197" t="s">
        <v>5791</v>
      </c>
      <c r="BQ59" s="197" t="s">
        <v>5791</v>
      </c>
      <c r="BR59" s="197" t="s">
        <v>5791</v>
      </c>
      <c r="BS59" s="197" t="s">
        <v>5791</v>
      </c>
      <c r="BT59" s="196" t="s">
        <v>5791</v>
      </c>
      <c r="BU59" s="197" t="s">
        <v>5791</v>
      </c>
      <c r="BV59" s="197" t="s">
        <v>5791</v>
      </c>
      <c r="BW59" s="197" t="s">
        <v>5791</v>
      </c>
      <c r="BX59" s="197" t="s">
        <v>5791</v>
      </c>
      <c r="BY59" s="197" t="s">
        <v>5791</v>
      </c>
      <c r="BZ59" s="212" t="s">
        <v>5791</v>
      </c>
      <c r="CA59" s="197" t="s">
        <v>5791</v>
      </c>
      <c r="CB59" s="197" t="s">
        <v>5791</v>
      </c>
      <c r="CC59" s="197" t="s">
        <v>5791</v>
      </c>
      <c r="CD59" s="197" t="s">
        <v>5791</v>
      </c>
      <c r="CE59" s="197" t="s">
        <v>5791</v>
      </c>
      <c r="CF59" s="212" t="s">
        <v>5791</v>
      </c>
      <c r="CG59" s="32" t="s">
        <v>4449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4449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4449</v>
      </c>
      <c r="CT59" s="46">
        <v>235</v>
      </c>
      <c r="CU59" s="310">
        <v>286</v>
      </c>
      <c r="CV59" s="59">
        <v>360</v>
      </c>
      <c r="CW59" s="32">
        <v>450</v>
      </c>
      <c r="CX59" s="60">
        <v>200000</v>
      </c>
      <c r="CY59" s="201" t="s">
        <v>5791</v>
      </c>
      <c r="CZ59" s="202" t="s">
        <v>5791</v>
      </c>
      <c r="DA59" s="202" t="s">
        <v>5791</v>
      </c>
      <c r="DB59" s="203" t="s">
        <v>5791</v>
      </c>
      <c r="DC59" s="201" t="s">
        <v>5791</v>
      </c>
      <c r="DD59" s="202" t="s">
        <v>5791</v>
      </c>
      <c r="DE59" s="203" t="s">
        <v>5791</v>
      </c>
      <c r="DF59" s="274" t="s">
        <v>5791</v>
      </c>
      <c r="DG59" s="310">
        <v>8.8000000000000007</v>
      </c>
      <c r="DH59" s="310">
        <v>640</v>
      </c>
      <c r="DI59" s="32">
        <v>730</v>
      </c>
      <c r="DJ59" s="310">
        <v>800</v>
      </c>
      <c r="DK59" s="32">
        <v>940</v>
      </c>
      <c r="DL59" s="60">
        <v>200000</v>
      </c>
      <c r="DM59" s="29" t="s">
        <v>4572</v>
      </c>
      <c r="DN59" s="310" t="s">
        <v>6053</v>
      </c>
      <c r="DO59" s="306" t="s">
        <v>4565</v>
      </c>
    </row>
    <row r="60" spans="1:119">
      <c r="A60" s="18">
        <v>55</v>
      </c>
      <c r="B60" s="349"/>
      <c r="C60" s="349"/>
      <c r="D60" s="360"/>
      <c r="E60" s="360"/>
      <c r="F60" s="349"/>
      <c r="G60" s="349"/>
      <c r="H60" s="349"/>
      <c r="I60" s="349"/>
      <c r="J60" s="286" t="s">
        <v>4417</v>
      </c>
      <c r="K60" s="301" t="s">
        <v>4383</v>
      </c>
      <c r="L60" s="310" t="s">
        <v>5791</v>
      </c>
      <c r="M60" s="301" t="s">
        <v>4508</v>
      </c>
      <c r="N60" s="310" t="s">
        <v>4702</v>
      </c>
      <c r="O60" s="18" t="s">
        <v>4506</v>
      </c>
      <c r="P60" s="310" t="s">
        <v>4420</v>
      </c>
      <c r="Q60" s="310" t="s">
        <v>4420</v>
      </c>
      <c r="R60" s="310" t="s">
        <v>4420</v>
      </c>
      <c r="S60" s="310" t="s">
        <v>5791</v>
      </c>
      <c r="T60" s="59" t="s">
        <v>4420</v>
      </c>
      <c r="U60" s="59" t="s">
        <v>5791</v>
      </c>
      <c r="V60" s="59" t="s">
        <v>4420</v>
      </c>
      <c r="W60" s="59" t="s">
        <v>5791</v>
      </c>
      <c r="X60" s="310" t="s">
        <v>4420</v>
      </c>
      <c r="Y60" s="310" t="s">
        <v>5791</v>
      </c>
      <c r="Z60" s="310" t="s">
        <v>4558</v>
      </c>
      <c r="AA60" s="18">
        <v>6</v>
      </c>
      <c r="AB60" s="224">
        <v>0</v>
      </c>
      <c r="AC60" s="140">
        <v>0</v>
      </c>
      <c r="AD60" s="301" t="s">
        <v>4021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1" t="s">
        <v>3997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230</v>
      </c>
      <c r="AT60" s="21">
        <v>290</v>
      </c>
      <c r="AU60" s="21">
        <f t="shared" si="16"/>
        <v>0</v>
      </c>
      <c r="AV60" s="21">
        <v>0</v>
      </c>
      <c r="AW60" s="301" t="s">
        <v>5806</v>
      </c>
      <c r="AX60" s="310" t="s">
        <v>6129</v>
      </c>
      <c r="AY60" s="310">
        <v>48</v>
      </c>
      <c r="AZ60" s="310">
        <v>24</v>
      </c>
      <c r="BA60" s="310">
        <f t="shared" si="11"/>
        <v>353</v>
      </c>
      <c r="BB60" s="21">
        <v>75</v>
      </c>
      <c r="BC60" s="21">
        <v>75</v>
      </c>
      <c r="BD60" s="21">
        <v>0</v>
      </c>
      <c r="BE60" s="21">
        <v>120</v>
      </c>
      <c r="BF60" s="21">
        <v>140</v>
      </c>
      <c r="BG60" s="15" t="s">
        <v>4470</v>
      </c>
      <c r="BH60" s="310" t="s">
        <v>6204</v>
      </c>
      <c r="BI60" s="310" t="s">
        <v>6204</v>
      </c>
      <c r="BJ60" s="310">
        <v>2</v>
      </c>
      <c r="BK60" s="310">
        <v>4</v>
      </c>
      <c r="BL60" s="196" t="s">
        <v>5791</v>
      </c>
      <c r="BM60" s="197" t="s">
        <v>5791</v>
      </c>
      <c r="BN60" s="197" t="s">
        <v>5791</v>
      </c>
      <c r="BO60" s="197" t="s">
        <v>5791</v>
      </c>
      <c r="BP60" s="197" t="s">
        <v>5791</v>
      </c>
      <c r="BQ60" s="197" t="s">
        <v>5791</v>
      </c>
      <c r="BR60" s="197" t="s">
        <v>5791</v>
      </c>
      <c r="BS60" s="197" t="s">
        <v>5791</v>
      </c>
      <c r="BT60" s="196" t="s">
        <v>5791</v>
      </c>
      <c r="BU60" s="197" t="s">
        <v>5791</v>
      </c>
      <c r="BV60" s="197" t="s">
        <v>5791</v>
      </c>
      <c r="BW60" s="197" t="s">
        <v>5791</v>
      </c>
      <c r="BX60" s="197" t="s">
        <v>5791</v>
      </c>
      <c r="BY60" s="197" t="s">
        <v>5791</v>
      </c>
      <c r="BZ60" s="212" t="s">
        <v>5791</v>
      </c>
      <c r="CA60" s="197" t="s">
        <v>5791</v>
      </c>
      <c r="CB60" s="197" t="s">
        <v>5791</v>
      </c>
      <c r="CC60" s="197" t="s">
        <v>5791</v>
      </c>
      <c r="CD60" s="197" t="s">
        <v>5791</v>
      </c>
      <c r="CE60" s="197" t="s">
        <v>5791</v>
      </c>
      <c r="CF60" s="212" t="s">
        <v>5791</v>
      </c>
      <c r="CG60" s="32" t="s">
        <v>4449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4449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4449</v>
      </c>
      <c r="CT60" s="46">
        <v>235</v>
      </c>
      <c r="CU60" s="310">
        <v>294</v>
      </c>
      <c r="CV60" s="59">
        <v>360</v>
      </c>
      <c r="CW60" s="32">
        <v>450</v>
      </c>
      <c r="CX60" s="60">
        <v>200000</v>
      </c>
      <c r="CY60" s="201" t="s">
        <v>5791</v>
      </c>
      <c r="CZ60" s="202" t="s">
        <v>5791</v>
      </c>
      <c r="DA60" s="202" t="s">
        <v>5791</v>
      </c>
      <c r="DB60" s="203" t="s">
        <v>5791</v>
      </c>
      <c r="DC60" s="201" t="s">
        <v>5791</v>
      </c>
      <c r="DD60" s="202" t="s">
        <v>5791</v>
      </c>
      <c r="DE60" s="203" t="s">
        <v>5791</v>
      </c>
      <c r="DF60" s="274" t="s">
        <v>5791</v>
      </c>
      <c r="DG60" s="310">
        <v>8.8000000000000007</v>
      </c>
      <c r="DH60" s="310">
        <v>640</v>
      </c>
      <c r="DI60" s="32">
        <v>730</v>
      </c>
      <c r="DJ60" s="310">
        <v>800</v>
      </c>
      <c r="DK60" s="32">
        <v>940</v>
      </c>
      <c r="DL60" s="60">
        <v>200000</v>
      </c>
      <c r="DM60" s="29" t="s">
        <v>4572</v>
      </c>
      <c r="DN60" s="310" t="s">
        <v>6053</v>
      </c>
      <c r="DO60" s="306" t="s">
        <v>4565</v>
      </c>
    </row>
    <row r="61" spans="1:119">
      <c r="A61" s="18">
        <v>56</v>
      </c>
      <c r="B61" s="349"/>
      <c r="C61" s="349"/>
      <c r="D61" s="360"/>
      <c r="E61" s="360"/>
      <c r="F61" s="349"/>
      <c r="G61" s="349"/>
      <c r="H61" s="349"/>
      <c r="I61" s="349"/>
      <c r="J61" s="286" t="s">
        <v>4418</v>
      </c>
      <c r="K61" s="301" t="s">
        <v>4383</v>
      </c>
      <c r="L61" s="310" t="s">
        <v>5791</v>
      </c>
      <c r="M61" s="301" t="s">
        <v>4508</v>
      </c>
      <c r="N61" s="310" t="s">
        <v>4702</v>
      </c>
      <c r="O61" s="18" t="s">
        <v>4506</v>
      </c>
      <c r="P61" s="310" t="s">
        <v>4420</v>
      </c>
      <c r="Q61" s="310" t="s">
        <v>4420</v>
      </c>
      <c r="R61" s="310" t="s">
        <v>4420</v>
      </c>
      <c r="S61" s="310" t="s">
        <v>5791</v>
      </c>
      <c r="T61" s="59" t="s">
        <v>4420</v>
      </c>
      <c r="U61" s="59" t="s">
        <v>5791</v>
      </c>
      <c r="V61" s="59" t="s">
        <v>4420</v>
      </c>
      <c r="W61" s="59" t="s">
        <v>5791</v>
      </c>
      <c r="X61" s="310" t="s">
        <v>4420</v>
      </c>
      <c r="Y61" s="310" t="s">
        <v>5791</v>
      </c>
      <c r="Z61" s="310" t="s">
        <v>4558</v>
      </c>
      <c r="AA61" s="18">
        <v>6</v>
      </c>
      <c r="AB61" s="224">
        <v>0</v>
      </c>
      <c r="AC61" s="18">
        <v>0</v>
      </c>
      <c r="AD61" s="301" t="s">
        <v>4021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1" t="s">
        <v>3997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230</v>
      </c>
      <c r="AT61" s="21">
        <v>290</v>
      </c>
      <c r="AU61" s="21">
        <f t="shared" si="16"/>
        <v>0</v>
      </c>
      <c r="AV61" s="21">
        <v>0</v>
      </c>
      <c r="AW61" s="301" t="s">
        <v>5806</v>
      </c>
      <c r="AX61" s="310" t="s">
        <v>6129</v>
      </c>
      <c r="AY61" s="310">
        <v>48</v>
      </c>
      <c r="AZ61" s="310">
        <v>24</v>
      </c>
      <c r="BA61" s="310">
        <f t="shared" si="11"/>
        <v>353</v>
      </c>
      <c r="BB61" s="21">
        <v>75</v>
      </c>
      <c r="BC61" s="21">
        <v>75</v>
      </c>
      <c r="BD61" s="21">
        <v>0</v>
      </c>
      <c r="BE61" s="21">
        <v>120</v>
      </c>
      <c r="BF61" s="21">
        <v>140</v>
      </c>
      <c r="BG61" s="15" t="s">
        <v>4470</v>
      </c>
      <c r="BH61" s="310" t="s">
        <v>6204</v>
      </c>
      <c r="BI61" s="310" t="s">
        <v>6204</v>
      </c>
      <c r="BJ61" s="310">
        <v>2</v>
      </c>
      <c r="BK61" s="310">
        <v>4</v>
      </c>
      <c r="BL61" s="196" t="s">
        <v>5791</v>
      </c>
      <c r="BM61" s="197" t="s">
        <v>5791</v>
      </c>
      <c r="BN61" s="197" t="s">
        <v>5791</v>
      </c>
      <c r="BO61" s="197" t="s">
        <v>5791</v>
      </c>
      <c r="BP61" s="197" t="s">
        <v>5791</v>
      </c>
      <c r="BQ61" s="197" t="s">
        <v>5791</v>
      </c>
      <c r="BR61" s="197" t="s">
        <v>5791</v>
      </c>
      <c r="BS61" s="197" t="s">
        <v>5791</v>
      </c>
      <c r="BT61" s="196" t="s">
        <v>5791</v>
      </c>
      <c r="BU61" s="197" t="s">
        <v>5791</v>
      </c>
      <c r="BV61" s="197" t="s">
        <v>5791</v>
      </c>
      <c r="BW61" s="197" t="s">
        <v>5791</v>
      </c>
      <c r="BX61" s="197" t="s">
        <v>5791</v>
      </c>
      <c r="BY61" s="197" t="s">
        <v>5791</v>
      </c>
      <c r="BZ61" s="212" t="s">
        <v>5791</v>
      </c>
      <c r="CA61" s="197" t="s">
        <v>5791</v>
      </c>
      <c r="CB61" s="197" t="s">
        <v>5791</v>
      </c>
      <c r="CC61" s="197" t="s">
        <v>5791</v>
      </c>
      <c r="CD61" s="197" t="s">
        <v>5791</v>
      </c>
      <c r="CE61" s="197" t="s">
        <v>5791</v>
      </c>
      <c r="CF61" s="212" t="s">
        <v>5791</v>
      </c>
      <c r="CG61" s="32" t="s">
        <v>4449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4449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4449</v>
      </c>
      <c r="CT61" s="46">
        <v>235</v>
      </c>
      <c r="CU61" s="310">
        <v>286</v>
      </c>
      <c r="CV61" s="59">
        <v>360</v>
      </c>
      <c r="CW61" s="32">
        <v>450</v>
      </c>
      <c r="CX61" s="60">
        <v>200000</v>
      </c>
      <c r="CY61" s="201" t="s">
        <v>5791</v>
      </c>
      <c r="CZ61" s="202" t="s">
        <v>5791</v>
      </c>
      <c r="DA61" s="202" t="s">
        <v>5791</v>
      </c>
      <c r="DB61" s="203" t="s">
        <v>5791</v>
      </c>
      <c r="DC61" s="201" t="s">
        <v>5791</v>
      </c>
      <c r="DD61" s="202" t="s">
        <v>5791</v>
      </c>
      <c r="DE61" s="203" t="s">
        <v>5791</v>
      </c>
      <c r="DF61" s="274" t="s">
        <v>5791</v>
      </c>
      <c r="DG61" s="310">
        <v>8.8000000000000007</v>
      </c>
      <c r="DH61" s="310">
        <v>640</v>
      </c>
      <c r="DI61" s="32">
        <v>730</v>
      </c>
      <c r="DJ61" s="310">
        <v>800</v>
      </c>
      <c r="DK61" s="32">
        <v>940</v>
      </c>
      <c r="DL61" s="60">
        <v>200000</v>
      </c>
      <c r="DM61" s="29" t="s">
        <v>4572</v>
      </c>
      <c r="DN61" s="310" t="s">
        <v>6053</v>
      </c>
      <c r="DO61" s="306" t="s">
        <v>4565</v>
      </c>
    </row>
    <row r="62" spans="1:119">
      <c r="A62" s="18">
        <v>57</v>
      </c>
      <c r="B62" s="349"/>
      <c r="C62" s="349"/>
      <c r="D62" s="360"/>
      <c r="E62" s="360"/>
      <c r="F62" s="349"/>
      <c r="G62" s="349"/>
      <c r="H62" s="349"/>
      <c r="I62" s="349"/>
      <c r="J62" s="286" t="s">
        <v>4419</v>
      </c>
      <c r="K62" s="301" t="s">
        <v>4383</v>
      </c>
      <c r="L62" s="310" t="s">
        <v>5791</v>
      </c>
      <c r="M62" s="301" t="s">
        <v>4508</v>
      </c>
      <c r="N62" s="310" t="s">
        <v>4702</v>
      </c>
      <c r="O62" s="18" t="s">
        <v>4506</v>
      </c>
      <c r="P62" s="310" t="s">
        <v>4420</v>
      </c>
      <c r="Q62" s="310" t="s">
        <v>4420</v>
      </c>
      <c r="R62" s="310" t="s">
        <v>4420</v>
      </c>
      <c r="S62" s="310" t="s">
        <v>5791</v>
      </c>
      <c r="T62" s="59" t="s">
        <v>4420</v>
      </c>
      <c r="U62" s="59" t="s">
        <v>5791</v>
      </c>
      <c r="V62" s="59" t="s">
        <v>4420</v>
      </c>
      <c r="W62" s="59" t="s">
        <v>5791</v>
      </c>
      <c r="X62" s="310" t="s">
        <v>4420</v>
      </c>
      <c r="Y62" s="310" t="s">
        <v>5791</v>
      </c>
      <c r="Z62" s="310" t="s">
        <v>4558</v>
      </c>
      <c r="AA62" s="18">
        <v>6</v>
      </c>
      <c r="AB62" s="224">
        <v>0</v>
      </c>
      <c r="AC62" s="18">
        <v>0</v>
      </c>
      <c r="AD62" s="301" t="s">
        <v>4021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1" t="s">
        <v>3997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230</v>
      </c>
      <c r="AT62" s="21">
        <v>290</v>
      </c>
      <c r="AU62" s="21">
        <f t="shared" si="16"/>
        <v>0</v>
      </c>
      <c r="AV62" s="21">
        <v>0</v>
      </c>
      <c r="AW62" s="301" t="s">
        <v>5806</v>
      </c>
      <c r="AX62" s="310" t="s">
        <v>6129</v>
      </c>
      <c r="AY62" s="21">
        <v>48</v>
      </c>
      <c r="AZ62" s="310">
        <v>24</v>
      </c>
      <c r="BA62" s="310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4420</v>
      </c>
      <c r="BH62" s="310" t="s">
        <v>4465</v>
      </c>
      <c r="BI62" s="310" t="s">
        <v>6204</v>
      </c>
      <c r="BJ62" s="310">
        <v>4</v>
      </c>
      <c r="BK62" s="310">
        <v>6</v>
      </c>
      <c r="BL62" s="196" t="s">
        <v>5791</v>
      </c>
      <c r="BM62" s="197" t="s">
        <v>5791</v>
      </c>
      <c r="BN62" s="197" t="s">
        <v>5791</v>
      </c>
      <c r="BO62" s="197" t="s">
        <v>5791</v>
      </c>
      <c r="BP62" s="197" t="s">
        <v>5791</v>
      </c>
      <c r="BQ62" s="197" t="s">
        <v>5791</v>
      </c>
      <c r="BR62" s="197" t="s">
        <v>5791</v>
      </c>
      <c r="BS62" s="197" t="s">
        <v>5791</v>
      </c>
      <c r="BT62" s="196" t="s">
        <v>5791</v>
      </c>
      <c r="BU62" s="197" t="s">
        <v>5791</v>
      </c>
      <c r="BV62" s="197" t="s">
        <v>5791</v>
      </c>
      <c r="BW62" s="197" t="s">
        <v>5791</v>
      </c>
      <c r="BX62" s="197" t="s">
        <v>5791</v>
      </c>
      <c r="BY62" s="197" t="s">
        <v>5791</v>
      </c>
      <c r="BZ62" s="212" t="s">
        <v>5791</v>
      </c>
      <c r="CA62" s="197" t="s">
        <v>5791</v>
      </c>
      <c r="CB62" s="197" t="s">
        <v>5791</v>
      </c>
      <c r="CC62" s="197" t="s">
        <v>5791</v>
      </c>
      <c r="CD62" s="197" t="s">
        <v>5791</v>
      </c>
      <c r="CE62" s="197" t="s">
        <v>5791</v>
      </c>
      <c r="CF62" s="212" t="s">
        <v>5791</v>
      </c>
      <c r="CG62" s="32" t="s">
        <v>4449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4449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4449</v>
      </c>
      <c r="CT62" s="46">
        <v>235</v>
      </c>
      <c r="CU62" s="310">
        <v>294</v>
      </c>
      <c r="CV62" s="59">
        <v>360</v>
      </c>
      <c r="CW62" s="32">
        <v>450</v>
      </c>
      <c r="CX62" s="60">
        <v>200000</v>
      </c>
      <c r="CY62" s="201" t="s">
        <v>5791</v>
      </c>
      <c r="CZ62" s="202" t="s">
        <v>5791</v>
      </c>
      <c r="DA62" s="202" t="s">
        <v>5791</v>
      </c>
      <c r="DB62" s="203" t="s">
        <v>5791</v>
      </c>
      <c r="DC62" s="201" t="s">
        <v>5791</v>
      </c>
      <c r="DD62" s="202" t="s">
        <v>5791</v>
      </c>
      <c r="DE62" s="203" t="s">
        <v>5791</v>
      </c>
      <c r="DF62" s="274" t="s">
        <v>5791</v>
      </c>
      <c r="DG62" s="310">
        <v>8.8000000000000007</v>
      </c>
      <c r="DH62" s="310">
        <v>640</v>
      </c>
      <c r="DI62" s="32">
        <v>730</v>
      </c>
      <c r="DJ62" s="310">
        <v>800</v>
      </c>
      <c r="DK62" s="32">
        <v>940</v>
      </c>
      <c r="DL62" s="60">
        <v>200000</v>
      </c>
      <c r="DM62" s="29" t="s">
        <v>4572</v>
      </c>
      <c r="DN62" s="310" t="s">
        <v>6053</v>
      </c>
      <c r="DO62" s="306" t="s">
        <v>4565</v>
      </c>
    </row>
    <row r="63" spans="1:119">
      <c r="A63" s="18">
        <v>58</v>
      </c>
      <c r="B63" s="349"/>
      <c r="C63" s="349"/>
      <c r="D63" s="360"/>
      <c r="E63" s="360"/>
      <c r="F63" s="349"/>
      <c r="G63" s="349"/>
      <c r="H63" s="349"/>
      <c r="I63" s="349"/>
      <c r="J63" s="286" t="s">
        <v>4480</v>
      </c>
      <c r="K63" s="301" t="s">
        <v>4383</v>
      </c>
      <c r="L63" s="310" t="s">
        <v>5791</v>
      </c>
      <c r="M63" s="301" t="s">
        <v>4508</v>
      </c>
      <c r="N63" s="310" t="s">
        <v>4702</v>
      </c>
      <c r="O63" s="18" t="s">
        <v>4506</v>
      </c>
      <c r="P63" s="310" t="s">
        <v>4420</v>
      </c>
      <c r="Q63" s="310" t="s">
        <v>4420</v>
      </c>
      <c r="R63" s="310" t="s">
        <v>4420</v>
      </c>
      <c r="S63" s="310" t="s">
        <v>5791</v>
      </c>
      <c r="T63" s="59" t="s">
        <v>4420</v>
      </c>
      <c r="U63" s="59" t="s">
        <v>5791</v>
      </c>
      <c r="V63" s="59" t="s">
        <v>4420</v>
      </c>
      <c r="W63" s="59" t="s">
        <v>5791</v>
      </c>
      <c r="X63" s="310" t="s">
        <v>4420</v>
      </c>
      <c r="Y63" s="310" t="s">
        <v>5791</v>
      </c>
      <c r="Z63" s="310" t="s">
        <v>4558</v>
      </c>
      <c r="AA63" s="18">
        <v>6</v>
      </c>
      <c r="AB63" s="224">
        <v>0</v>
      </c>
      <c r="AC63" s="18">
        <v>0</v>
      </c>
      <c r="AD63" s="301" t="s">
        <v>4021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1" t="s">
        <v>3997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230</v>
      </c>
      <c r="AT63" s="21">
        <v>290</v>
      </c>
      <c r="AU63" s="21">
        <f t="shared" si="16"/>
        <v>0</v>
      </c>
      <c r="AV63" s="21">
        <v>0</v>
      </c>
      <c r="AW63" s="301" t="s">
        <v>5806</v>
      </c>
      <c r="AX63" s="310" t="s">
        <v>6129</v>
      </c>
      <c r="AY63" s="21">
        <v>40</v>
      </c>
      <c r="AZ63" s="310">
        <v>24</v>
      </c>
      <c r="BA63" s="310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4420</v>
      </c>
      <c r="BH63" s="310" t="s">
        <v>4465</v>
      </c>
      <c r="BI63" s="310" t="s">
        <v>6204</v>
      </c>
      <c r="BJ63" s="310">
        <v>4</v>
      </c>
      <c r="BK63" s="310">
        <v>6</v>
      </c>
      <c r="BL63" s="196" t="s">
        <v>5791</v>
      </c>
      <c r="BM63" s="197" t="s">
        <v>5791</v>
      </c>
      <c r="BN63" s="197" t="s">
        <v>5791</v>
      </c>
      <c r="BO63" s="197" t="s">
        <v>5791</v>
      </c>
      <c r="BP63" s="197" t="s">
        <v>5791</v>
      </c>
      <c r="BQ63" s="197" t="s">
        <v>5791</v>
      </c>
      <c r="BR63" s="197" t="s">
        <v>5791</v>
      </c>
      <c r="BS63" s="197" t="s">
        <v>5791</v>
      </c>
      <c r="BT63" s="196" t="s">
        <v>5791</v>
      </c>
      <c r="BU63" s="197" t="s">
        <v>5791</v>
      </c>
      <c r="BV63" s="197" t="s">
        <v>5791</v>
      </c>
      <c r="BW63" s="197" t="s">
        <v>5791</v>
      </c>
      <c r="BX63" s="197" t="s">
        <v>5791</v>
      </c>
      <c r="BY63" s="197" t="s">
        <v>5791</v>
      </c>
      <c r="BZ63" s="212" t="s">
        <v>5791</v>
      </c>
      <c r="CA63" s="197" t="s">
        <v>5791</v>
      </c>
      <c r="CB63" s="197" t="s">
        <v>5791</v>
      </c>
      <c r="CC63" s="197" t="s">
        <v>5791</v>
      </c>
      <c r="CD63" s="197" t="s">
        <v>5791</v>
      </c>
      <c r="CE63" s="197" t="s">
        <v>5791</v>
      </c>
      <c r="CF63" s="212" t="s">
        <v>5791</v>
      </c>
      <c r="CG63" s="32" t="s">
        <v>4449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4449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4449</v>
      </c>
      <c r="CT63" s="46">
        <v>235</v>
      </c>
      <c r="CU63" s="310">
        <v>286</v>
      </c>
      <c r="CV63" s="59">
        <v>360</v>
      </c>
      <c r="CW63" s="32">
        <v>450</v>
      </c>
      <c r="CX63" s="60">
        <v>200000</v>
      </c>
      <c r="CY63" s="201" t="s">
        <v>5791</v>
      </c>
      <c r="CZ63" s="202" t="s">
        <v>5791</v>
      </c>
      <c r="DA63" s="202" t="s">
        <v>5791</v>
      </c>
      <c r="DB63" s="203" t="s">
        <v>5791</v>
      </c>
      <c r="DC63" s="201" t="s">
        <v>5791</v>
      </c>
      <c r="DD63" s="202" t="s">
        <v>5791</v>
      </c>
      <c r="DE63" s="203" t="s">
        <v>5791</v>
      </c>
      <c r="DF63" s="274" t="s">
        <v>5791</v>
      </c>
      <c r="DG63" s="310">
        <v>8.8000000000000007</v>
      </c>
      <c r="DH63" s="310">
        <v>640</v>
      </c>
      <c r="DI63" s="32">
        <v>730</v>
      </c>
      <c r="DJ63" s="310">
        <v>800</v>
      </c>
      <c r="DK63" s="32">
        <v>940</v>
      </c>
      <c r="DL63" s="60">
        <v>200000</v>
      </c>
      <c r="DM63" s="29" t="s">
        <v>4572</v>
      </c>
      <c r="DN63" s="310" t="s">
        <v>6053</v>
      </c>
      <c r="DO63" s="306" t="s">
        <v>4565</v>
      </c>
    </row>
    <row r="64" spans="1:119">
      <c r="A64" s="18">
        <v>59</v>
      </c>
      <c r="B64" s="349"/>
      <c r="C64" s="349"/>
      <c r="D64" s="360"/>
      <c r="E64" s="360"/>
      <c r="F64" s="349"/>
      <c r="G64" s="349"/>
      <c r="H64" s="349"/>
      <c r="I64" s="349"/>
      <c r="J64" s="286" t="s">
        <v>4481</v>
      </c>
      <c r="K64" s="301" t="s">
        <v>4383</v>
      </c>
      <c r="L64" s="310" t="s">
        <v>5791</v>
      </c>
      <c r="M64" s="301" t="s">
        <v>4508</v>
      </c>
      <c r="N64" s="310" t="s">
        <v>4702</v>
      </c>
      <c r="O64" s="18" t="s">
        <v>4506</v>
      </c>
      <c r="P64" s="310" t="s">
        <v>4420</v>
      </c>
      <c r="Q64" s="310" t="s">
        <v>4420</v>
      </c>
      <c r="R64" s="310" t="s">
        <v>4420</v>
      </c>
      <c r="S64" s="310" t="s">
        <v>5791</v>
      </c>
      <c r="T64" s="59" t="s">
        <v>4420</v>
      </c>
      <c r="U64" s="59" t="s">
        <v>5791</v>
      </c>
      <c r="V64" s="59" t="s">
        <v>4420</v>
      </c>
      <c r="W64" s="59" t="s">
        <v>5791</v>
      </c>
      <c r="X64" s="310" t="s">
        <v>4420</v>
      </c>
      <c r="Y64" s="310" t="s">
        <v>5791</v>
      </c>
      <c r="Z64" s="310" t="s">
        <v>4558</v>
      </c>
      <c r="AA64" s="18">
        <v>6</v>
      </c>
      <c r="AB64" s="224">
        <v>0</v>
      </c>
      <c r="AC64" s="18">
        <v>0</v>
      </c>
      <c r="AD64" s="301" t="s">
        <v>4021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1" t="s">
        <v>3997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230</v>
      </c>
      <c r="AT64" s="21">
        <v>290</v>
      </c>
      <c r="AU64" s="21">
        <f t="shared" si="16"/>
        <v>0</v>
      </c>
      <c r="AV64" s="21">
        <v>0</v>
      </c>
      <c r="AW64" s="301" t="s">
        <v>5806</v>
      </c>
      <c r="AX64" s="310" t="s">
        <v>6129</v>
      </c>
      <c r="AY64" s="21">
        <v>42</v>
      </c>
      <c r="AZ64" s="310">
        <v>24</v>
      </c>
      <c r="BA64" s="310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4470</v>
      </c>
      <c r="BH64" s="310" t="s">
        <v>6206</v>
      </c>
      <c r="BI64" s="310" t="s">
        <v>6204</v>
      </c>
      <c r="BJ64" s="310">
        <v>4</v>
      </c>
      <c r="BK64" s="310">
        <v>6</v>
      </c>
      <c r="BL64" s="196" t="s">
        <v>5791</v>
      </c>
      <c r="BM64" s="197" t="s">
        <v>5791</v>
      </c>
      <c r="BN64" s="197" t="s">
        <v>5791</v>
      </c>
      <c r="BO64" s="197" t="s">
        <v>5791</v>
      </c>
      <c r="BP64" s="197" t="s">
        <v>5791</v>
      </c>
      <c r="BQ64" s="197" t="s">
        <v>5791</v>
      </c>
      <c r="BR64" s="197" t="s">
        <v>5791</v>
      </c>
      <c r="BS64" s="197" t="s">
        <v>5791</v>
      </c>
      <c r="BT64" s="196" t="s">
        <v>5791</v>
      </c>
      <c r="BU64" s="197" t="s">
        <v>5791</v>
      </c>
      <c r="BV64" s="197" t="s">
        <v>5791</v>
      </c>
      <c r="BW64" s="197" t="s">
        <v>5791</v>
      </c>
      <c r="BX64" s="197" t="s">
        <v>5791</v>
      </c>
      <c r="BY64" s="197" t="s">
        <v>5791</v>
      </c>
      <c r="BZ64" s="212" t="s">
        <v>5791</v>
      </c>
      <c r="CA64" s="197" t="s">
        <v>5791</v>
      </c>
      <c r="CB64" s="197" t="s">
        <v>5791</v>
      </c>
      <c r="CC64" s="197" t="s">
        <v>5791</v>
      </c>
      <c r="CD64" s="197" t="s">
        <v>5791</v>
      </c>
      <c r="CE64" s="197" t="s">
        <v>5791</v>
      </c>
      <c r="CF64" s="212" t="s">
        <v>5791</v>
      </c>
      <c r="CG64" s="32" t="s">
        <v>4449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4449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4449</v>
      </c>
      <c r="CT64" s="46">
        <v>235</v>
      </c>
      <c r="CU64" s="310">
        <v>294</v>
      </c>
      <c r="CV64" s="59">
        <v>360</v>
      </c>
      <c r="CW64" s="32">
        <v>450</v>
      </c>
      <c r="CX64" s="60">
        <v>200000</v>
      </c>
      <c r="CY64" s="201" t="s">
        <v>5791</v>
      </c>
      <c r="CZ64" s="202" t="s">
        <v>5791</v>
      </c>
      <c r="DA64" s="202" t="s">
        <v>5791</v>
      </c>
      <c r="DB64" s="203" t="s">
        <v>5791</v>
      </c>
      <c r="DC64" s="201" t="s">
        <v>5791</v>
      </c>
      <c r="DD64" s="202" t="s">
        <v>5791</v>
      </c>
      <c r="DE64" s="203" t="s">
        <v>5791</v>
      </c>
      <c r="DF64" s="274" t="s">
        <v>5791</v>
      </c>
      <c r="DG64" s="310">
        <v>8.8000000000000007</v>
      </c>
      <c r="DH64" s="310">
        <v>640</v>
      </c>
      <c r="DI64" s="32">
        <v>730</v>
      </c>
      <c r="DJ64" s="310">
        <v>800</v>
      </c>
      <c r="DK64" s="32">
        <v>940</v>
      </c>
      <c r="DL64" s="60">
        <v>200000</v>
      </c>
      <c r="DM64" s="29" t="s">
        <v>4572</v>
      </c>
      <c r="DN64" s="310" t="s">
        <v>6053</v>
      </c>
      <c r="DO64" s="306" t="s">
        <v>4565</v>
      </c>
    </row>
    <row r="65" spans="1:119">
      <c r="A65" s="18">
        <v>60</v>
      </c>
      <c r="B65" s="349"/>
      <c r="C65" s="349"/>
      <c r="D65" s="360"/>
      <c r="E65" s="360"/>
      <c r="F65" s="349"/>
      <c r="G65" s="349"/>
      <c r="H65" s="349"/>
      <c r="I65" s="349"/>
      <c r="J65" s="286" t="s">
        <v>4482</v>
      </c>
      <c r="K65" s="301" t="s">
        <v>4383</v>
      </c>
      <c r="L65" s="310" t="s">
        <v>5791</v>
      </c>
      <c r="M65" s="301" t="s">
        <v>4508</v>
      </c>
      <c r="N65" s="310" t="s">
        <v>4702</v>
      </c>
      <c r="O65" s="18" t="s">
        <v>4506</v>
      </c>
      <c r="P65" s="310" t="s">
        <v>4420</v>
      </c>
      <c r="Q65" s="310" t="s">
        <v>4420</v>
      </c>
      <c r="R65" s="310" t="s">
        <v>4420</v>
      </c>
      <c r="S65" s="310" t="s">
        <v>5791</v>
      </c>
      <c r="T65" s="59" t="s">
        <v>4420</v>
      </c>
      <c r="U65" s="59" t="s">
        <v>5791</v>
      </c>
      <c r="V65" s="59" t="s">
        <v>4420</v>
      </c>
      <c r="W65" s="59" t="s">
        <v>5791</v>
      </c>
      <c r="X65" s="310" t="s">
        <v>4420</v>
      </c>
      <c r="Y65" s="310" t="s">
        <v>5791</v>
      </c>
      <c r="Z65" s="310" t="s">
        <v>4558</v>
      </c>
      <c r="AA65" s="18">
        <v>6</v>
      </c>
      <c r="AB65" s="224">
        <v>0</v>
      </c>
      <c r="AC65" s="18">
        <v>0</v>
      </c>
      <c r="AD65" s="301" t="s">
        <v>4021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1" t="s">
        <v>3997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230</v>
      </c>
      <c r="AT65" s="21">
        <v>290</v>
      </c>
      <c r="AU65" s="21">
        <f t="shared" si="16"/>
        <v>0</v>
      </c>
      <c r="AV65" s="21">
        <v>0</v>
      </c>
      <c r="AW65" s="301" t="s">
        <v>5806</v>
      </c>
      <c r="AX65" s="310" t="s">
        <v>6129</v>
      </c>
      <c r="AY65" s="21">
        <v>39.5</v>
      </c>
      <c r="AZ65" s="310">
        <v>24</v>
      </c>
      <c r="BA65" s="310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4470</v>
      </c>
      <c r="BH65" s="310" t="s">
        <v>6206</v>
      </c>
      <c r="BI65" s="310" t="s">
        <v>6204</v>
      </c>
      <c r="BJ65" s="310">
        <v>4</v>
      </c>
      <c r="BK65" s="310">
        <v>6</v>
      </c>
      <c r="BL65" s="196" t="s">
        <v>5791</v>
      </c>
      <c r="BM65" s="197" t="s">
        <v>5791</v>
      </c>
      <c r="BN65" s="197" t="s">
        <v>5791</v>
      </c>
      <c r="BO65" s="197" t="s">
        <v>5791</v>
      </c>
      <c r="BP65" s="197" t="s">
        <v>5791</v>
      </c>
      <c r="BQ65" s="197" t="s">
        <v>5791</v>
      </c>
      <c r="BR65" s="197" t="s">
        <v>5791</v>
      </c>
      <c r="BS65" s="197" t="s">
        <v>5791</v>
      </c>
      <c r="BT65" s="196" t="s">
        <v>5791</v>
      </c>
      <c r="BU65" s="197" t="s">
        <v>5791</v>
      </c>
      <c r="BV65" s="197" t="s">
        <v>5791</v>
      </c>
      <c r="BW65" s="197" t="s">
        <v>5791</v>
      </c>
      <c r="BX65" s="197" t="s">
        <v>5791</v>
      </c>
      <c r="BY65" s="197" t="s">
        <v>5791</v>
      </c>
      <c r="BZ65" s="212" t="s">
        <v>5791</v>
      </c>
      <c r="CA65" s="197" t="s">
        <v>5791</v>
      </c>
      <c r="CB65" s="197" t="s">
        <v>5791</v>
      </c>
      <c r="CC65" s="197" t="s">
        <v>5791</v>
      </c>
      <c r="CD65" s="197" t="s">
        <v>5791</v>
      </c>
      <c r="CE65" s="197" t="s">
        <v>5791</v>
      </c>
      <c r="CF65" s="212" t="s">
        <v>5791</v>
      </c>
      <c r="CG65" s="32" t="s">
        <v>4449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4449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4449</v>
      </c>
      <c r="CT65" s="46">
        <v>235</v>
      </c>
      <c r="CU65" s="310">
        <v>286</v>
      </c>
      <c r="CV65" s="59">
        <v>360</v>
      </c>
      <c r="CW65" s="32">
        <v>450</v>
      </c>
      <c r="CX65" s="60">
        <v>200000</v>
      </c>
      <c r="CY65" s="201" t="s">
        <v>5791</v>
      </c>
      <c r="CZ65" s="202" t="s">
        <v>5791</v>
      </c>
      <c r="DA65" s="202" t="s">
        <v>5791</v>
      </c>
      <c r="DB65" s="203" t="s">
        <v>5791</v>
      </c>
      <c r="DC65" s="201" t="s">
        <v>5791</v>
      </c>
      <c r="DD65" s="202" t="s">
        <v>5791</v>
      </c>
      <c r="DE65" s="203" t="s">
        <v>5791</v>
      </c>
      <c r="DF65" s="274" t="s">
        <v>5791</v>
      </c>
      <c r="DG65" s="310">
        <v>8.8000000000000007</v>
      </c>
      <c r="DH65" s="310">
        <v>640</v>
      </c>
      <c r="DI65" s="32">
        <v>730</v>
      </c>
      <c r="DJ65" s="310">
        <v>800</v>
      </c>
      <c r="DK65" s="32">
        <v>940</v>
      </c>
      <c r="DL65" s="60">
        <v>200000</v>
      </c>
      <c r="DM65" s="29" t="s">
        <v>4572</v>
      </c>
      <c r="DN65" s="310" t="s">
        <v>6053</v>
      </c>
      <c r="DO65" s="306" t="s">
        <v>4565</v>
      </c>
    </row>
    <row r="66" spans="1:119">
      <c r="A66" s="18">
        <v>61</v>
      </c>
      <c r="B66" s="349"/>
      <c r="C66" s="349"/>
      <c r="D66" s="360"/>
      <c r="E66" s="360"/>
      <c r="F66" s="349"/>
      <c r="G66" s="349"/>
      <c r="H66" s="349"/>
      <c r="I66" s="349"/>
      <c r="J66" s="286" t="s">
        <v>4483</v>
      </c>
      <c r="K66" s="301" t="s">
        <v>4383</v>
      </c>
      <c r="L66" s="310" t="s">
        <v>5791</v>
      </c>
      <c r="M66" s="301" t="s">
        <v>4508</v>
      </c>
      <c r="N66" s="310" t="s">
        <v>4702</v>
      </c>
      <c r="O66" s="18" t="s">
        <v>4506</v>
      </c>
      <c r="P66" s="310" t="s">
        <v>4420</v>
      </c>
      <c r="Q66" s="310" t="s">
        <v>4420</v>
      </c>
      <c r="R66" s="310" t="s">
        <v>4420</v>
      </c>
      <c r="S66" s="310" t="s">
        <v>5791</v>
      </c>
      <c r="T66" s="59" t="s">
        <v>4420</v>
      </c>
      <c r="U66" s="59" t="s">
        <v>5791</v>
      </c>
      <c r="V66" s="59" t="s">
        <v>4420</v>
      </c>
      <c r="W66" s="59" t="s">
        <v>5791</v>
      </c>
      <c r="X66" s="310" t="s">
        <v>4420</v>
      </c>
      <c r="Y66" s="310" t="s">
        <v>5791</v>
      </c>
      <c r="Z66" s="310" t="s">
        <v>4558</v>
      </c>
      <c r="AA66" s="18">
        <v>6</v>
      </c>
      <c r="AB66" s="224">
        <v>0</v>
      </c>
      <c r="AC66" s="18">
        <v>0</v>
      </c>
      <c r="AD66" s="301" t="s">
        <v>4021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1" t="s">
        <v>3997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230</v>
      </c>
      <c r="AT66" s="21">
        <v>290</v>
      </c>
      <c r="AU66" s="21">
        <f t="shared" si="16"/>
        <v>0</v>
      </c>
      <c r="AV66" s="21">
        <v>0</v>
      </c>
      <c r="AW66" s="301" t="s">
        <v>5806</v>
      </c>
      <c r="AX66" s="310" t="s">
        <v>6129</v>
      </c>
      <c r="AY66" s="21">
        <v>30</v>
      </c>
      <c r="AZ66" s="310">
        <v>24</v>
      </c>
      <c r="BA66" s="310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4470</v>
      </c>
      <c r="BH66" s="310" t="s">
        <v>6206</v>
      </c>
      <c r="BI66" s="310" t="s">
        <v>6204</v>
      </c>
      <c r="BJ66" s="310">
        <v>4</v>
      </c>
      <c r="BK66" s="310">
        <v>6</v>
      </c>
      <c r="BL66" s="196" t="s">
        <v>5791</v>
      </c>
      <c r="BM66" s="197" t="s">
        <v>5791</v>
      </c>
      <c r="BN66" s="197" t="s">
        <v>5791</v>
      </c>
      <c r="BO66" s="197" t="s">
        <v>5791</v>
      </c>
      <c r="BP66" s="197" t="s">
        <v>5791</v>
      </c>
      <c r="BQ66" s="197" t="s">
        <v>5791</v>
      </c>
      <c r="BR66" s="197" t="s">
        <v>5791</v>
      </c>
      <c r="BS66" s="197" t="s">
        <v>5791</v>
      </c>
      <c r="BT66" s="196" t="s">
        <v>5791</v>
      </c>
      <c r="BU66" s="197" t="s">
        <v>5791</v>
      </c>
      <c r="BV66" s="197" t="s">
        <v>5791</v>
      </c>
      <c r="BW66" s="197" t="s">
        <v>5791</v>
      </c>
      <c r="BX66" s="197" t="s">
        <v>5791</v>
      </c>
      <c r="BY66" s="197" t="s">
        <v>5791</v>
      </c>
      <c r="BZ66" s="212" t="s">
        <v>5791</v>
      </c>
      <c r="CA66" s="197" t="s">
        <v>5791</v>
      </c>
      <c r="CB66" s="197" t="s">
        <v>5791</v>
      </c>
      <c r="CC66" s="197" t="s">
        <v>5791</v>
      </c>
      <c r="CD66" s="197" t="s">
        <v>5791</v>
      </c>
      <c r="CE66" s="197" t="s">
        <v>5791</v>
      </c>
      <c r="CF66" s="212" t="s">
        <v>5791</v>
      </c>
      <c r="CG66" s="32" t="s">
        <v>4449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4449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4449</v>
      </c>
      <c r="CT66" s="46">
        <v>235</v>
      </c>
      <c r="CU66" s="310">
        <v>294</v>
      </c>
      <c r="CV66" s="59">
        <v>360</v>
      </c>
      <c r="CW66" s="32">
        <v>450</v>
      </c>
      <c r="CX66" s="60">
        <v>200000</v>
      </c>
      <c r="CY66" s="201" t="s">
        <v>5791</v>
      </c>
      <c r="CZ66" s="202" t="s">
        <v>5791</v>
      </c>
      <c r="DA66" s="202" t="s">
        <v>5791</v>
      </c>
      <c r="DB66" s="203" t="s">
        <v>5791</v>
      </c>
      <c r="DC66" s="201" t="s">
        <v>5791</v>
      </c>
      <c r="DD66" s="202" t="s">
        <v>5791</v>
      </c>
      <c r="DE66" s="203" t="s">
        <v>5791</v>
      </c>
      <c r="DF66" s="274" t="s">
        <v>5791</v>
      </c>
      <c r="DG66" s="310">
        <v>8.8000000000000007</v>
      </c>
      <c r="DH66" s="310">
        <v>640</v>
      </c>
      <c r="DI66" s="32">
        <v>730</v>
      </c>
      <c r="DJ66" s="310">
        <v>800</v>
      </c>
      <c r="DK66" s="32">
        <v>940</v>
      </c>
      <c r="DL66" s="60">
        <v>200000</v>
      </c>
      <c r="DM66" s="29" t="s">
        <v>4572</v>
      </c>
      <c r="DN66" s="310" t="s">
        <v>6053</v>
      </c>
      <c r="DO66" s="306" t="s">
        <v>4565</v>
      </c>
    </row>
    <row r="67" spans="1:119">
      <c r="A67" s="18">
        <v>62</v>
      </c>
      <c r="B67" s="349"/>
      <c r="C67" s="349"/>
      <c r="D67" s="360"/>
      <c r="E67" s="360"/>
      <c r="F67" s="349"/>
      <c r="G67" s="349"/>
      <c r="H67" s="349"/>
      <c r="I67" s="349"/>
      <c r="J67" s="286" t="s">
        <v>4484</v>
      </c>
      <c r="K67" s="301" t="s">
        <v>4383</v>
      </c>
      <c r="L67" s="310" t="s">
        <v>5791</v>
      </c>
      <c r="M67" s="301" t="s">
        <v>4508</v>
      </c>
      <c r="N67" s="310" t="s">
        <v>4702</v>
      </c>
      <c r="O67" s="18" t="s">
        <v>4506</v>
      </c>
      <c r="P67" s="310" t="s">
        <v>4420</v>
      </c>
      <c r="Q67" s="310" t="s">
        <v>4420</v>
      </c>
      <c r="R67" s="310" t="s">
        <v>4420</v>
      </c>
      <c r="S67" s="310" t="s">
        <v>5791</v>
      </c>
      <c r="T67" s="59" t="s">
        <v>4420</v>
      </c>
      <c r="U67" s="59" t="s">
        <v>5791</v>
      </c>
      <c r="V67" s="59" t="s">
        <v>4420</v>
      </c>
      <c r="W67" s="59" t="s">
        <v>5791</v>
      </c>
      <c r="X67" s="310" t="s">
        <v>4420</v>
      </c>
      <c r="Y67" s="310" t="s">
        <v>5791</v>
      </c>
      <c r="Z67" s="310" t="s">
        <v>4558</v>
      </c>
      <c r="AA67" s="18">
        <v>6</v>
      </c>
      <c r="AB67" s="224">
        <v>0</v>
      </c>
      <c r="AC67" s="18">
        <v>0</v>
      </c>
      <c r="AD67" s="301" t="s">
        <v>4021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1" t="s">
        <v>3997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230</v>
      </c>
      <c r="AT67" s="21">
        <v>290</v>
      </c>
      <c r="AU67" s="21">
        <f t="shared" si="16"/>
        <v>0</v>
      </c>
      <c r="AV67" s="21">
        <v>0</v>
      </c>
      <c r="AW67" s="301" t="s">
        <v>5806</v>
      </c>
      <c r="AX67" s="310" t="s">
        <v>6129</v>
      </c>
      <c r="AY67" s="21">
        <v>29</v>
      </c>
      <c r="AZ67" s="310">
        <v>24</v>
      </c>
      <c r="BA67" s="310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4470</v>
      </c>
      <c r="BH67" s="310" t="s">
        <v>6206</v>
      </c>
      <c r="BI67" s="310" t="s">
        <v>6204</v>
      </c>
      <c r="BJ67" s="310">
        <v>4</v>
      </c>
      <c r="BK67" s="310">
        <v>6</v>
      </c>
      <c r="BL67" s="196" t="s">
        <v>5791</v>
      </c>
      <c r="BM67" s="197" t="s">
        <v>5791</v>
      </c>
      <c r="BN67" s="197" t="s">
        <v>5791</v>
      </c>
      <c r="BO67" s="197" t="s">
        <v>5791</v>
      </c>
      <c r="BP67" s="197" t="s">
        <v>5791</v>
      </c>
      <c r="BQ67" s="197" t="s">
        <v>5791</v>
      </c>
      <c r="BR67" s="197" t="s">
        <v>5791</v>
      </c>
      <c r="BS67" s="197" t="s">
        <v>5791</v>
      </c>
      <c r="BT67" s="196" t="s">
        <v>5791</v>
      </c>
      <c r="BU67" s="197" t="s">
        <v>5791</v>
      </c>
      <c r="BV67" s="197" t="s">
        <v>5791</v>
      </c>
      <c r="BW67" s="197" t="s">
        <v>5791</v>
      </c>
      <c r="BX67" s="197" t="s">
        <v>5791</v>
      </c>
      <c r="BY67" s="197" t="s">
        <v>5791</v>
      </c>
      <c r="BZ67" s="212" t="s">
        <v>5791</v>
      </c>
      <c r="CA67" s="197" t="s">
        <v>5791</v>
      </c>
      <c r="CB67" s="197" t="s">
        <v>5791</v>
      </c>
      <c r="CC67" s="197" t="s">
        <v>5791</v>
      </c>
      <c r="CD67" s="197" t="s">
        <v>5791</v>
      </c>
      <c r="CE67" s="197" t="s">
        <v>5791</v>
      </c>
      <c r="CF67" s="212" t="s">
        <v>5791</v>
      </c>
      <c r="CG67" s="32" t="s">
        <v>4449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4449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4449</v>
      </c>
      <c r="CT67" s="46">
        <v>235</v>
      </c>
      <c r="CU67" s="310">
        <v>294</v>
      </c>
      <c r="CV67" s="59">
        <v>360</v>
      </c>
      <c r="CW67" s="32">
        <v>450</v>
      </c>
      <c r="CX67" s="60">
        <v>200000</v>
      </c>
      <c r="CY67" s="201" t="s">
        <v>5791</v>
      </c>
      <c r="CZ67" s="202" t="s">
        <v>5791</v>
      </c>
      <c r="DA67" s="202" t="s">
        <v>5791</v>
      </c>
      <c r="DB67" s="203" t="s">
        <v>5791</v>
      </c>
      <c r="DC67" s="201" t="s">
        <v>5791</v>
      </c>
      <c r="DD67" s="202" t="s">
        <v>5791</v>
      </c>
      <c r="DE67" s="203" t="s">
        <v>5791</v>
      </c>
      <c r="DF67" s="274" t="s">
        <v>5791</v>
      </c>
      <c r="DG67" s="310">
        <v>8.8000000000000007</v>
      </c>
      <c r="DH67" s="310">
        <v>640</v>
      </c>
      <c r="DI67" s="32">
        <v>730</v>
      </c>
      <c r="DJ67" s="310">
        <v>800</v>
      </c>
      <c r="DK67" s="32">
        <v>940</v>
      </c>
      <c r="DL67" s="60">
        <v>200000</v>
      </c>
      <c r="DM67" s="29" t="s">
        <v>4572</v>
      </c>
      <c r="DN67" s="310" t="s">
        <v>6053</v>
      </c>
      <c r="DO67" s="306" t="s">
        <v>4565</v>
      </c>
    </row>
    <row r="68" spans="1:119">
      <c r="A68" s="18">
        <v>63</v>
      </c>
      <c r="B68" s="349"/>
      <c r="C68" s="349"/>
      <c r="D68" s="360"/>
      <c r="E68" s="360"/>
      <c r="F68" s="349"/>
      <c r="G68" s="349"/>
      <c r="H68" s="349"/>
      <c r="I68" s="349"/>
      <c r="J68" s="286" t="s">
        <v>4485</v>
      </c>
      <c r="K68" s="301" t="s">
        <v>4383</v>
      </c>
      <c r="L68" s="310" t="s">
        <v>5791</v>
      </c>
      <c r="M68" s="301" t="s">
        <v>4508</v>
      </c>
      <c r="N68" s="310" t="s">
        <v>4702</v>
      </c>
      <c r="O68" s="18" t="s">
        <v>4506</v>
      </c>
      <c r="P68" s="310" t="s">
        <v>4420</v>
      </c>
      <c r="Q68" s="310" t="s">
        <v>4420</v>
      </c>
      <c r="R68" s="310" t="s">
        <v>4420</v>
      </c>
      <c r="S68" s="310" t="s">
        <v>5791</v>
      </c>
      <c r="T68" s="59" t="s">
        <v>4420</v>
      </c>
      <c r="U68" s="59" t="s">
        <v>5791</v>
      </c>
      <c r="V68" s="59" t="s">
        <v>4420</v>
      </c>
      <c r="W68" s="59" t="s">
        <v>5791</v>
      </c>
      <c r="X68" s="310" t="s">
        <v>4420</v>
      </c>
      <c r="Y68" s="310" t="s">
        <v>5791</v>
      </c>
      <c r="Z68" s="310" t="s">
        <v>4558</v>
      </c>
      <c r="AA68" s="18">
        <v>6</v>
      </c>
      <c r="AB68" s="224">
        <v>0</v>
      </c>
      <c r="AC68" s="18">
        <v>0</v>
      </c>
      <c r="AD68" s="301" t="s">
        <v>4021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1" t="s">
        <v>3922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1" t="s">
        <v>5806</v>
      </c>
      <c r="AX68" s="310" t="s">
        <v>6129</v>
      </c>
      <c r="AY68" s="21">
        <v>66</v>
      </c>
      <c r="AZ68" s="310">
        <v>24</v>
      </c>
      <c r="BA68" s="310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4420</v>
      </c>
      <c r="BH68" s="310" t="s">
        <v>4465</v>
      </c>
      <c r="BI68" s="310" t="s">
        <v>6204</v>
      </c>
      <c r="BJ68" s="310">
        <v>4</v>
      </c>
      <c r="BK68" s="310">
        <v>6</v>
      </c>
      <c r="BL68" s="196" t="s">
        <v>5791</v>
      </c>
      <c r="BM68" s="197" t="s">
        <v>5791</v>
      </c>
      <c r="BN68" s="197" t="s">
        <v>5791</v>
      </c>
      <c r="BO68" s="197" t="s">
        <v>5791</v>
      </c>
      <c r="BP68" s="197" t="s">
        <v>5791</v>
      </c>
      <c r="BQ68" s="197" t="s">
        <v>5791</v>
      </c>
      <c r="BR68" s="197" t="s">
        <v>5791</v>
      </c>
      <c r="BS68" s="197" t="s">
        <v>5791</v>
      </c>
      <c r="BT68" s="196" t="s">
        <v>5791</v>
      </c>
      <c r="BU68" s="197" t="s">
        <v>5791</v>
      </c>
      <c r="BV68" s="197" t="s">
        <v>5791</v>
      </c>
      <c r="BW68" s="197" t="s">
        <v>5791</v>
      </c>
      <c r="BX68" s="197" t="s">
        <v>5791</v>
      </c>
      <c r="BY68" s="197" t="s">
        <v>5791</v>
      </c>
      <c r="BZ68" s="212" t="s">
        <v>5791</v>
      </c>
      <c r="CA68" s="197" t="s">
        <v>5791</v>
      </c>
      <c r="CB68" s="197" t="s">
        <v>5791</v>
      </c>
      <c r="CC68" s="197" t="s">
        <v>5791</v>
      </c>
      <c r="CD68" s="197" t="s">
        <v>5791</v>
      </c>
      <c r="CE68" s="197" t="s">
        <v>5791</v>
      </c>
      <c r="CF68" s="212" t="s">
        <v>5791</v>
      </c>
      <c r="CG68" s="32" t="s">
        <v>4449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4449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4449</v>
      </c>
      <c r="CT68" s="46">
        <v>235</v>
      </c>
      <c r="CU68" s="310">
        <v>294</v>
      </c>
      <c r="CV68" s="59">
        <v>360</v>
      </c>
      <c r="CW68" s="32">
        <v>450</v>
      </c>
      <c r="CX68" s="60">
        <v>200000</v>
      </c>
      <c r="CY68" s="201" t="s">
        <v>5791</v>
      </c>
      <c r="CZ68" s="202" t="s">
        <v>5791</v>
      </c>
      <c r="DA68" s="202" t="s">
        <v>5791</v>
      </c>
      <c r="DB68" s="203" t="s">
        <v>5791</v>
      </c>
      <c r="DC68" s="201" t="s">
        <v>5791</v>
      </c>
      <c r="DD68" s="202" t="s">
        <v>5791</v>
      </c>
      <c r="DE68" s="203" t="s">
        <v>5791</v>
      </c>
      <c r="DF68" s="274" t="s">
        <v>5791</v>
      </c>
      <c r="DG68" s="310">
        <v>8.8000000000000007</v>
      </c>
      <c r="DH68" s="310">
        <v>640</v>
      </c>
      <c r="DI68" s="32">
        <v>730</v>
      </c>
      <c r="DJ68" s="310">
        <v>800</v>
      </c>
      <c r="DK68" s="32">
        <v>940</v>
      </c>
      <c r="DL68" s="60">
        <v>200000</v>
      </c>
      <c r="DM68" s="29" t="s">
        <v>4572</v>
      </c>
      <c r="DN68" s="310" t="s">
        <v>6053</v>
      </c>
      <c r="DO68" s="306" t="s">
        <v>4565</v>
      </c>
    </row>
    <row r="69" spans="1:119">
      <c r="A69" s="18">
        <v>64</v>
      </c>
      <c r="B69" s="349"/>
      <c r="C69" s="349"/>
      <c r="D69" s="360"/>
      <c r="E69" s="360"/>
      <c r="F69" s="349"/>
      <c r="G69" s="349"/>
      <c r="H69" s="349"/>
      <c r="I69" s="349"/>
      <c r="J69" s="286" t="s">
        <v>4486</v>
      </c>
      <c r="K69" s="301" t="s">
        <v>4383</v>
      </c>
      <c r="L69" s="310" t="s">
        <v>5791</v>
      </c>
      <c r="M69" s="301" t="s">
        <v>4508</v>
      </c>
      <c r="N69" s="310" t="s">
        <v>4702</v>
      </c>
      <c r="O69" s="18" t="s">
        <v>4506</v>
      </c>
      <c r="P69" s="310" t="s">
        <v>4420</v>
      </c>
      <c r="Q69" s="310" t="s">
        <v>4420</v>
      </c>
      <c r="R69" s="310" t="s">
        <v>4420</v>
      </c>
      <c r="S69" s="310" t="s">
        <v>5791</v>
      </c>
      <c r="T69" s="59" t="s">
        <v>4420</v>
      </c>
      <c r="U69" s="59" t="s">
        <v>5791</v>
      </c>
      <c r="V69" s="59" t="s">
        <v>4420</v>
      </c>
      <c r="W69" s="59" t="s">
        <v>5791</v>
      </c>
      <c r="X69" s="310" t="s">
        <v>4420</v>
      </c>
      <c r="Y69" s="310" t="s">
        <v>5791</v>
      </c>
      <c r="Z69" s="310" t="s">
        <v>4558</v>
      </c>
      <c r="AA69" s="18">
        <v>6</v>
      </c>
      <c r="AB69" s="224">
        <v>0</v>
      </c>
      <c r="AC69" s="140">
        <v>0</v>
      </c>
      <c r="AD69" s="301" t="s">
        <v>4021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1" t="s">
        <v>3922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1" t="s">
        <v>5806</v>
      </c>
      <c r="AX69" s="310" t="s">
        <v>6129</v>
      </c>
      <c r="AY69" s="310" t="s">
        <v>6129</v>
      </c>
      <c r="AZ69" s="310">
        <v>24</v>
      </c>
      <c r="BA69" s="310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4470</v>
      </c>
      <c r="BH69" s="310" t="s">
        <v>6204</v>
      </c>
      <c r="BI69" s="310" t="s">
        <v>6204</v>
      </c>
      <c r="BJ69" s="310">
        <v>2</v>
      </c>
      <c r="BK69" s="310">
        <v>4</v>
      </c>
      <c r="BL69" s="196" t="s">
        <v>5791</v>
      </c>
      <c r="BM69" s="197" t="s">
        <v>5791</v>
      </c>
      <c r="BN69" s="197" t="s">
        <v>5791</v>
      </c>
      <c r="BO69" s="197" t="s">
        <v>5791</v>
      </c>
      <c r="BP69" s="197" t="s">
        <v>5791</v>
      </c>
      <c r="BQ69" s="197" t="s">
        <v>5791</v>
      </c>
      <c r="BR69" s="197" t="s">
        <v>5791</v>
      </c>
      <c r="BS69" s="197" t="s">
        <v>5791</v>
      </c>
      <c r="BT69" s="196" t="s">
        <v>5791</v>
      </c>
      <c r="BU69" s="197" t="s">
        <v>5791</v>
      </c>
      <c r="BV69" s="197" t="s">
        <v>5791</v>
      </c>
      <c r="BW69" s="197" t="s">
        <v>5791</v>
      </c>
      <c r="BX69" s="197" t="s">
        <v>5791</v>
      </c>
      <c r="BY69" s="197" t="s">
        <v>5791</v>
      </c>
      <c r="BZ69" s="212" t="s">
        <v>5791</v>
      </c>
      <c r="CA69" s="197" t="s">
        <v>5791</v>
      </c>
      <c r="CB69" s="197" t="s">
        <v>5791</v>
      </c>
      <c r="CC69" s="197" t="s">
        <v>5791</v>
      </c>
      <c r="CD69" s="197" t="s">
        <v>5791</v>
      </c>
      <c r="CE69" s="197" t="s">
        <v>5791</v>
      </c>
      <c r="CF69" s="212" t="s">
        <v>5791</v>
      </c>
      <c r="CG69" s="32" t="s">
        <v>4449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4449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4449</v>
      </c>
      <c r="CT69" s="46">
        <v>235</v>
      </c>
      <c r="CU69" s="310">
        <v>294</v>
      </c>
      <c r="CV69" s="59">
        <v>360</v>
      </c>
      <c r="CW69" s="32">
        <v>450</v>
      </c>
      <c r="CX69" s="60">
        <v>200000</v>
      </c>
      <c r="CY69" s="201" t="s">
        <v>5791</v>
      </c>
      <c r="CZ69" s="202" t="s">
        <v>5791</v>
      </c>
      <c r="DA69" s="202" t="s">
        <v>5791</v>
      </c>
      <c r="DB69" s="203" t="s">
        <v>5791</v>
      </c>
      <c r="DC69" s="201" t="s">
        <v>5791</v>
      </c>
      <c r="DD69" s="202" t="s">
        <v>5791</v>
      </c>
      <c r="DE69" s="203" t="s">
        <v>5791</v>
      </c>
      <c r="DF69" s="274" t="s">
        <v>5791</v>
      </c>
      <c r="DG69" s="310">
        <v>8.8000000000000007</v>
      </c>
      <c r="DH69" s="310">
        <v>640</v>
      </c>
      <c r="DI69" s="32">
        <v>730</v>
      </c>
      <c r="DJ69" s="310">
        <v>800</v>
      </c>
      <c r="DK69" s="32">
        <v>940</v>
      </c>
      <c r="DL69" s="60">
        <v>200000</v>
      </c>
      <c r="DM69" s="29" t="s">
        <v>4572</v>
      </c>
      <c r="DN69" s="310" t="s">
        <v>6053</v>
      </c>
      <c r="DO69" s="306" t="s">
        <v>4565</v>
      </c>
    </row>
    <row r="70" spans="1:119">
      <c r="A70" s="18">
        <v>65</v>
      </c>
      <c r="B70" s="349"/>
      <c r="C70" s="349"/>
      <c r="D70" s="360"/>
      <c r="E70" s="360"/>
      <c r="F70" s="349"/>
      <c r="G70" s="349"/>
      <c r="H70" s="349"/>
      <c r="I70" s="349"/>
      <c r="J70" s="286" t="s">
        <v>4487</v>
      </c>
      <c r="K70" s="301" t="s">
        <v>4383</v>
      </c>
      <c r="L70" s="310" t="s">
        <v>5791</v>
      </c>
      <c r="M70" s="301" t="s">
        <v>4508</v>
      </c>
      <c r="N70" s="310" t="s">
        <v>4702</v>
      </c>
      <c r="O70" s="18" t="s">
        <v>4506</v>
      </c>
      <c r="P70" s="310" t="s">
        <v>4420</v>
      </c>
      <c r="Q70" s="310" t="s">
        <v>4420</v>
      </c>
      <c r="R70" s="310" t="s">
        <v>4420</v>
      </c>
      <c r="S70" s="310" t="s">
        <v>5791</v>
      </c>
      <c r="T70" s="59" t="s">
        <v>4420</v>
      </c>
      <c r="U70" s="59" t="s">
        <v>5791</v>
      </c>
      <c r="V70" s="59" t="s">
        <v>4420</v>
      </c>
      <c r="W70" s="59" t="s">
        <v>5791</v>
      </c>
      <c r="X70" s="310" t="s">
        <v>4420</v>
      </c>
      <c r="Y70" s="310" t="s">
        <v>5791</v>
      </c>
      <c r="Z70" s="310" t="s">
        <v>4558</v>
      </c>
      <c r="AA70" s="18">
        <v>6</v>
      </c>
      <c r="AB70" s="224">
        <v>0</v>
      </c>
      <c r="AC70" s="140">
        <v>0</v>
      </c>
      <c r="AD70" s="301" t="s">
        <v>4021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1" t="s">
        <v>3922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1" t="s">
        <v>5806</v>
      </c>
      <c r="AX70" s="310" t="s">
        <v>6129</v>
      </c>
      <c r="AY70" s="310">
        <v>60</v>
      </c>
      <c r="AZ70" s="310">
        <v>24</v>
      </c>
      <c r="BA70" s="310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4470</v>
      </c>
      <c r="BH70" s="310" t="s">
        <v>6204</v>
      </c>
      <c r="BI70" s="310" t="s">
        <v>6204</v>
      </c>
      <c r="BJ70" s="310">
        <v>2</v>
      </c>
      <c r="BK70" s="310">
        <v>4</v>
      </c>
      <c r="BL70" s="196" t="s">
        <v>5791</v>
      </c>
      <c r="BM70" s="197" t="s">
        <v>5791</v>
      </c>
      <c r="BN70" s="197" t="s">
        <v>5791</v>
      </c>
      <c r="BO70" s="197" t="s">
        <v>5791</v>
      </c>
      <c r="BP70" s="197" t="s">
        <v>5791</v>
      </c>
      <c r="BQ70" s="197" t="s">
        <v>5791</v>
      </c>
      <c r="BR70" s="197" t="s">
        <v>5791</v>
      </c>
      <c r="BS70" s="197" t="s">
        <v>5791</v>
      </c>
      <c r="BT70" s="196" t="s">
        <v>5791</v>
      </c>
      <c r="BU70" s="197" t="s">
        <v>5791</v>
      </c>
      <c r="BV70" s="197" t="s">
        <v>5791</v>
      </c>
      <c r="BW70" s="197" t="s">
        <v>5791</v>
      </c>
      <c r="BX70" s="197" t="s">
        <v>5791</v>
      </c>
      <c r="BY70" s="197" t="s">
        <v>5791</v>
      </c>
      <c r="BZ70" s="212" t="s">
        <v>5791</v>
      </c>
      <c r="CA70" s="197" t="s">
        <v>5791</v>
      </c>
      <c r="CB70" s="197" t="s">
        <v>5791</v>
      </c>
      <c r="CC70" s="197" t="s">
        <v>5791</v>
      </c>
      <c r="CD70" s="197" t="s">
        <v>5791</v>
      </c>
      <c r="CE70" s="197" t="s">
        <v>5791</v>
      </c>
      <c r="CF70" s="212" t="s">
        <v>5791</v>
      </c>
      <c r="CG70" s="32" t="s">
        <v>4449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4449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4449</v>
      </c>
      <c r="CT70" s="46">
        <v>235</v>
      </c>
      <c r="CU70" s="310">
        <v>294</v>
      </c>
      <c r="CV70" s="59">
        <v>360</v>
      </c>
      <c r="CW70" s="32">
        <v>450</v>
      </c>
      <c r="CX70" s="60">
        <v>200000</v>
      </c>
      <c r="CY70" s="201" t="s">
        <v>5791</v>
      </c>
      <c r="CZ70" s="202" t="s">
        <v>5791</v>
      </c>
      <c r="DA70" s="202" t="s">
        <v>5791</v>
      </c>
      <c r="DB70" s="203" t="s">
        <v>5791</v>
      </c>
      <c r="DC70" s="201" t="s">
        <v>5791</v>
      </c>
      <c r="DD70" s="202" t="s">
        <v>5791</v>
      </c>
      <c r="DE70" s="203" t="s">
        <v>5791</v>
      </c>
      <c r="DF70" s="274" t="s">
        <v>5791</v>
      </c>
      <c r="DG70" s="310">
        <v>8.8000000000000007</v>
      </c>
      <c r="DH70" s="310">
        <v>640</v>
      </c>
      <c r="DI70" s="32">
        <v>730</v>
      </c>
      <c r="DJ70" s="310">
        <v>800</v>
      </c>
      <c r="DK70" s="32">
        <v>940</v>
      </c>
      <c r="DL70" s="60">
        <v>200000</v>
      </c>
      <c r="DM70" s="29" t="s">
        <v>4572</v>
      </c>
      <c r="DN70" s="310" t="s">
        <v>6053</v>
      </c>
      <c r="DO70" s="306" t="s">
        <v>4565</v>
      </c>
    </row>
    <row r="71" spans="1:119">
      <c r="A71" s="18">
        <v>66</v>
      </c>
      <c r="B71" s="349"/>
      <c r="C71" s="349"/>
      <c r="D71" s="360"/>
      <c r="E71" s="360"/>
      <c r="F71" s="349"/>
      <c r="G71" s="349"/>
      <c r="H71" s="349"/>
      <c r="I71" s="349"/>
      <c r="J71" s="286" t="s">
        <v>4488</v>
      </c>
      <c r="K71" s="301" t="s">
        <v>4383</v>
      </c>
      <c r="L71" s="310" t="s">
        <v>5791</v>
      </c>
      <c r="M71" s="301" t="s">
        <v>4508</v>
      </c>
      <c r="N71" s="310" t="s">
        <v>4702</v>
      </c>
      <c r="O71" s="18" t="s">
        <v>4506</v>
      </c>
      <c r="P71" s="310" t="s">
        <v>4420</v>
      </c>
      <c r="Q71" s="310" t="s">
        <v>4420</v>
      </c>
      <c r="R71" s="310" t="s">
        <v>4420</v>
      </c>
      <c r="S71" s="310" t="s">
        <v>5791</v>
      </c>
      <c r="T71" s="59" t="s">
        <v>4420</v>
      </c>
      <c r="U71" s="59" t="s">
        <v>5791</v>
      </c>
      <c r="V71" s="59" t="s">
        <v>4420</v>
      </c>
      <c r="W71" s="59" t="s">
        <v>5791</v>
      </c>
      <c r="X71" s="310" t="s">
        <v>4420</v>
      </c>
      <c r="Y71" s="310" t="s">
        <v>5791</v>
      </c>
      <c r="Z71" s="310" t="s">
        <v>4558</v>
      </c>
      <c r="AA71" s="18">
        <v>6</v>
      </c>
      <c r="AB71" s="224">
        <v>0</v>
      </c>
      <c r="AC71" s="140">
        <v>0</v>
      </c>
      <c r="AD71" s="301" t="s">
        <v>4021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1" t="s">
        <v>3922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1" t="s">
        <v>5806</v>
      </c>
      <c r="AX71" s="310" t="s">
        <v>6129</v>
      </c>
      <c r="AY71" s="310">
        <v>90</v>
      </c>
      <c r="AZ71" s="310">
        <v>24</v>
      </c>
      <c r="BA71" s="310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4420</v>
      </c>
      <c r="BH71" s="310" t="s">
        <v>4465</v>
      </c>
      <c r="BI71" s="310" t="s">
        <v>6204</v>
      </c>
      <c r="BJ71" s="310">
        <v>4</v>
      </c>
      <c r="BK71" s="310">
        <v>6</v>
      </c>
      <c r="BL71" s="196" t="s">
        <v>5791</v>
      </c>
      <c r="BM71" s="197" t="s">
        <v>5791</v>
      </c>
      <c r="BN71" s="197" t="s">
        <v>5791</v>
      </c>
      <c r="BO71" s="197" t="s">
        <v>5791</v>
      </c>
      <c r="BP71" s="197" t="s">
        <v>5791</v>
      </c>
      <c r="BQ71" s="197" t="s">
        <v>5791</v>
      </c>
      <c r="BR71" s="197" t="s">
        <v>5791</v>
      </c>
      <c r="BS71" s="197" t="s">
        <v>5791</v>
      </c>
      <c r="BT71" s="196" t="s">
        <v>5791</v>
      </c>
      <c r="BU71" s="197" t="s">
        <v>5791</v>
      </c>
      <c r="BV71" s="197" t="s">
        <v>5791</v>
      </c>
      <c r="BW71" s="197" t="s">
        <v>5791</v>
      </c>
      <c r="BX71" s="197" t="s">
        <v>5791</v>
      </c>
      <c r="BY71" s="197" t="s">
        <v>5791</v>
      </c>
      <c r="BZ71" s="212" t="s">
        <v>5791</v>
      </c>
      <c r="CA71" s="197" t="s">
        <v>5791</v>
      </c>
      <c r="CB71" s="197" t="s">
        <v>5791</v>
      </c>
      <c r="CC71" s="197" t="s">
        <v>5791</v>
      </c>
      <c r="CD71" s="197" t="s">
        <v>5791</v>
      </c>
      <c r="CE71" s="197" t="s">
        <v>5791</v>
      </c>
      <c r="CF71" s="212" t="s">
        <v>5791</v>
      </c>
      <c r="CG71" s="32" t="s">
        <v>4449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4449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4449</v>
      </c>
      <c r="CT71" s="46">
        <v>235</v>
      </c>
      <c r="CU71" s="310">
        <v>286</v>
      </c>
      <c r="CV71" s="59">
        <v>360</v>
      </c>
      <c r="CW71" s="32">
        <v>450</v>
      </c>
      <c r="CX71" s="60">
        <v>200000</v>
      </c>
      <c r="CY71" s="201" t="s">
        <v>5791</v>
      </c>
      <c r="CZ71" s="202" t="s">
        <v>5791</v>
      </c>
      <c r="DA71" s="202" t="s">
        <v>5791</v>
      </c>
      <c r="DB71" s="203" t="s">
        <v>5791</v>
      </c>
      <c r="DC71" s="201" t="s">
        <v>5791</v>
      </c>
      <c r="DD71" s="202" t="s">
        <v>5791</v>
      </c>
      <c r="DE71" s="203" t="s">
        <v>5791</v>
      </c>
      <c r="DF71" s="274" t="s">
        <v>5791</v>
      </c>
      <c r="DG71" s="310">
        <v>8.8000000000000007</v>
      </c>
      <c r="DH71" s="310">
        <v>640</v>
      </c>
      <c r="DI71" s="32">
        <v>730</v>
      </c>
      <c r="DJ71" s="310">
        <v>800</v>
      </c>
      <c r="DK71" s="32">
        <v>940</v>
      </c>
      <c r="DL71" s="60">
        <v>200000</v>
      </c>
      <c r="DM71" s="29" t="s">
        <v>4572</v>
      </c>
      <c r="DN71" s="310" t="s">
        <v>6053</v>
      </c>
      <c r="DO71" s="306" t="s">
        <v>4565</v>
      </c>
    </row>
    <row r="72" spans="1:119">
      <c r="A72" s="18">
        <v>67</v>
      </c>
      <c r="B72" s="349"/>
      <c r="C72" s="349"/>
      <c r="D72" s="360"/>
      <c r="E72" s="360"/>
      <c r="F72" s="349"/>
      <c r="G72" s="349"/>
      <c r="H72" s="349"/>
      <c r="I72" s="349"/>
      <c r="J72" s="286" t="s">
        <v>4489</v>
      </c>
      <c r="K72" s="301" t="s">
        <v>4383</v>
      </c>
      <c r="L72" s="310" t="s">
        <v>5791</v>
      </c>
      <c r="M72" s="301" t="s">
        <v>4508</v>
      </c>
      <c r="N72" s="310" t="s">
        <v>4702</v>
      </c>
      <c r="O72" s="18" t="s">
        <v>4506</v>
      </c>
      <c r="P72" s="310" t="s">
        <v>4420</v>
      </c>
      <c r="Q72" s="310" t="s">
        <v>4420</v>
      </c>
      <c r="R72" s="310" t="s">
        <v>4420</v>
      </c>
      <c r="S72" s="310" t="s">
        <v>5791</v>
      </c>
      <c r="T72" s="59" t="s">
        <v>4420</v>
      </c>
      <c r="U72" s="59" t="s">
        <v>5791</v>
      </c>
      <c r="V72" s="59" t="s">
        <v>4420</v>
      </c>
      <c r="W72" s="59" t="s">
        <v>5791</v>
      </c>
      <c r="X72" s="310" t="s">
        <v>4420</v>
      </c>
      <c r="Y72" s="310" t="s">
        <v>5791</v>
      </c>
      <c r="Z72" s="310" t="s">
        <v>4558</v>
      </c>
      <c r="AA72" s="18">
        <v>6</v>
      </c>
      <c r="AB72" s="224">
        <v>0</v>
      </c>
      <c r="AC72" s="140">
        <v>0</v>
      </c>
      <c r="AD72" s="301" t="s">
        <v>4021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1" t="s">
        <v>3922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1" t="s">
        <v>5806</v>
      </c>
      <c r="AX72" s="310" t="s">
        <v>6129</v>
      </c>
      <c r="AY72" s="310">
        <v>70</v>
      </c>
      <c r="AZ72" s="310">
        <v>24</v>
      </c>
      <c r="BA72" s="310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4470</v>
      </c>
      <c r="BH72" s="310" t="s">
        <v>6204</v>
      </c>
      <c r="BI72" s="310" t="s">
        <v>6204</v>
      </c>
      <c r="BJ72" s="310">
        <v>2</v>
      </c>
      <c r="BK72" s="310">
        <v>4</v>
      </c>
      <c r="BL72" s="196" t="s">
        <v>5791</v>
      </c>
      <c r="BM72" s="197" t="s">
        <v>5791</v>
      </c>
      <c r="BN72" s="197" t="s">
        <v>5791</v>
      </c>
      <c r="BO72" s="197" t="s">
        <v>5791</v>
      </c>
      <c r="BP72" s="197" t="s">
        <v>5791</v>
      </c>
      <c r="BQ72" s="197" t="s">
        <v>5791</v>
      </c>
      <c r="BR72" s="197" t="s">
        <v>5791</v>
      </c>
      <c r="BS72" s="197" t="s">
        <v>5791</v>
      </c>
      <c r="BT72" s="196" t="s">
        <v>5791</v>
      </c>
      <c r="BU72" s="197" t="s">
        <v>5791</v>
      </c>
      <c r="BV72" s="197" t="s">
        <v>5791</v>
      </c>
      <c r="BW72" s="197" t="s">
        <v>5791</v>
      </c>
      <c r="BX72" s="197" t="s">
        <v>5791</v>
      </c>
      <c r="BY72" s="197" t="s">
        <v>5791</v>
      </c>
      <c r="BZ72" s="212" t="s">
        <v>5791</v>
      </c>
      <c r="CA72" s="197" t="s">
        <v>5791</v>
      </c>
      <c r="CB72" s="197" t="s">
        <v>5791</v>
      </c>
      <c r="CC72" s="197" t="s">
        <v>5791</v>
      </c>
      <c r="CD72" s="197" t="s">
        <v>5791</v>
      </c>
      <c r="CE72" s="197" t="s">
        <v>5791</v>
      </c>
      <c r="CF72" s="212" t="s">
        <v>5791</v>
      </c>
      <c r="CG72" s="32" t="s">
        <v>4449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4449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4449</v>
      </c>
      <c r="CT72" s="46">
        <v>235</v>
      </c>
      <c r="CU72" s="310">
        <v>286</v>
      </c>
      <c r="CV72" s="59">
        <v>360</v>
      </c>
      <c r="CW72" s="32">
        <v>450</v>
      </c>
      <c r="CX72" s="60">
        <v>200000</v>
      </c>
      <c r="CY72" s="201" t="s">
        <v>5791</v>
      </c>
      <c r="CZ72" s="202" t="s">
        <v>5791</v>
      </c>
      <c r="DA72" s="202" t="s">
        <v>5791</v>
      </c>
      <c r="DB72" s="203" t="s">
        <v>5791</v>
      </c>
      <c r="DC72" s="201" t="s">
        <v>5791</v>
      </c>
      <c r="DD72" s="202" t="s">
        <v>5791</v>
      </c>
      <c r="DE72" s="203" t="s">
        <v>5791</v>
      </c>
      <c r="DF72" s="274" t="s">
        <v>5791</v>
      </c>
      <c r="DG72" s="310">
        <v>8.8000000000000007</v>
      </c>
      <c r="DH72" s="310">
        <v>640</v>
      </c>
      <c r="DI72" s="32">
        <v>730</v>
      </c>
      <c r="DJ72" s="310">
        <v>800</v>
      </c>
      <c r="DK72" s="32">
        <v>940</v>
      </c>
      <c r="DL72" s="60">
        <v>200000</v>
      </c>
      <c r="DM72" s="29" t="s">
        <v>4572</v>
      </c>
      <c r="DN72" s="310" t="s">
        <v>6053</v>
      </c>
      <c r="DO72" s="306" t="s">
        <v>4565</v>
      </c>
    </row>
    <row r="73" spans="1:119">
      <c r="A73" s="18">
        <v>68</v>
      </c>
      <c r="B73" s="349"/>
      <c r="C73" s="349"/>
      <c r="D73" s="360"/>
      <c r="E73" s="360"/>
      <c r="F73" s="349"/>
      <c r="G73" s="349"/>
      <c r="H73" s="349"/>
      <c r="I73" s="349"/>
      <c r="J73" s="286" t="s">
        <v>4490</v>
      </c>
      <c r="K73" s="301" t="s">
        <v>4383</v>
      </c>
      <c r="L73" s="310" t="s">
        <v>5791</v>
      </c>
      <c r="M73" s="301" t="s">
        <v>4508</v>
      </c>
      <c r="N73" s="310" t="s">
        <v>4702</v>
      </c>
      <c r="O73" s="18" t="s">
        <v>4506</v>
      </c>
      <c r="P73" s="310" t="s">
        <v>4420</v>
      </c>
      <c r="Q73" s="310" t="s">
        <v>4420</v>
      </c>
      <c r="R73" s="310" t="s">
        <v>4420</v>
      </c>
      <c r="S73" s="310" t="s">
        <v>5791</v>
      </c>
      <c r="T73" s="59" t="s">
        <v>4420</v>
      </c>
      <c r="U73" s="59" t="s">
        <v>5791</v>
      </c>
      <c r="V73" s="59" t="s">
        <v>4420</v>
      </c>
      <c r="W73" s="59" t="s">
        <v>5791</v>
      </c>
      <c r="X73" s="310" t="s">
        <v>4420</v>
      </c>
      <c r="Y73" s="310" t="s">
        <v>5791</v>
      </c>
      <c r="Z73" s="310" t="s">
        <v>4558</v>
      </c>
      <c r="AA73" s="18">
        <v>6</v>
      </c>
      <c r="AB73" s="224">
        <v>0</v>
      </c>
      <c r="AC73" s="140">
        <v>0</v>
      </c>
      <c r="AD73" s="301" t="s">
        <v>4021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1" t="s">
        <v>3922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1" t="s">
        <v>5806</v>
      </c>
      <c r="AX73" s="310" t="s">
        <v>6129</v>
      </c>
      <c r="AY73" s="310">
        <v>70</v>
      </c>
      <c r="AZ73" s="310">
        <v>24</v>
      </c>
      <c r="BA73" s="310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4470</v>
      </c>
      <c r="BH73" s="310" t="s">
        <v>6204</v>
      </c>
      <c r="BI73" s="310" t="s">
        <v>6204</v>
      </c>
      <c r="BJ73" s="310">
        <v>2</v>
      </c>
      <c r="BK73" s="310">
        <v>4</v>
      </c>
      <c r="BL73" s="196" t="s">
        <v>5791</v>
      </c>
      <c r="BM73" s="197" t="s">
        <v>5791</v>
      </c>
      <c r="BN73" s="197" t="s">
        <v>5791</v>
      </c>
      <c r="BO73" s="197" t="s">
        <v>5791</v>
      </c>
      <c r="BP73" s="197" t="s">
        <v>5791</v>
      </c>
      <c r="BQ73" s="197" t="s">
        <v>5791</v>
      </c>
      <c r="BR73" s="197" t="s">
        <v>5791</v>
      </c>
      <c r="BS73" s="197" t="s">
        <v>5791</v>
      </c>
      <c r="BT73" s="196" t="s">
        <v>5791</v>
      </c>
      <c r="BU73" s="197" t="s">
        <v>5791</v>
      </c>
      <c r="BV73" s="197" t="s">
        <v>5791</v>
      </c>
      <c r="BW73" s="197" t="s">
        <v>5791</v>
      </c>
      <c r="BX73" s="197" t="s">
        <v>5791</v>
      </c>
      <c r="BY73" s="197" t="s">
        <v>5791</v>
      </c>
      <c r="BZ73" s="212" t="s">
        <v>5791</v>
      </c>
      <c r="CA73" s="197" t="s">
        <v>5791</v>
      </c>
      <c r="CB73" s="197" t="s">
        <v>5791</v>
      </c>
      <c r="CC73" s="197" t="s">
        <v>5791</v>
      </c>
      <c r="CD73" s="197" t="s">
        <v>5791</v>
      </c>
      <c r="CE73" s="197" t="s">
        <v>5791</v>
      </c>
      <c r="CF73" s="212" t="s">
        <v>5791</v>
      </c>
      <c r="CG73" s="32" t="s">
        <v>4449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4449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4449</v>
      </c>
      <c r="CT73" s="46">
        <v>235</v>
      </c>
      <c r="CU73" s="310">
        <v>286</v>
      </c>
      <c r="CV73" s="59">
        <v>360</v>
      </c>
      <c r="CW73" s="32">
        <v>450</v>
      </c>
      <c r="CX73" s="60">
        <v>200000</v>
      </c>
      <c r="CY73" s="201" t="s">
        <v>5791</v>
      </c>
      <c r="CZ73" s="202" t="s">
        <v>5791</v>
      </c>
      <c r="DA73" s="202" t="s">
        <v>5791</v>
      </c>
      <c r="DB73" s="203" t="s">
        <v>5791</v>
      </c>
      <c r="DC73" s="201" t="s">
        <v>5791</v>
      </c>
      <c r="DD73" s="202" t="s">
        <v>5791</v>
      </c>
      <c r="DE73" s="203" t="s">
        <v>5791</v>
      </c>
      <c r="DF73" s="274" t="s">
        <v>5791</v>
      </c>
      <c r="DG73" s="310">
        <v>8.8000000000000007</v>
      </c>
      <c r="DH73" s="310">
        <v>640</v>
      </c>
      <c r="DI73" s="32">
        <v>730</v>
      </c>
      <c r="DJ73" s="310">
        <v>800</v>
      </c>
      <c r="DK73" s="32">
        <v>940</v>
      </c>
      <c r="DL73" s="60">
        <v>200000</v>
      </c>
      <c r="DM73" s="29" t="s">
        <v>4572</v>
      </c>
      <c r="DN73" s="310" t="s">
        <v>6053</v>
      </c>
      <c r="DO73" s="306" t="s">
        <v>4565</v>
      </c>
    </row>
    <row r="74" spans="1:119">
      <c r="A74" s="18">
        <v>69</v>
      </c>
      <c r="B74" s="349"/>
      <c r="C74" s="349"/>
      <c r="D74" s="360"/>
      <c r="E74" s="360"/>
      <c r="F74" s="349"/>
      <c r="G74" s="349"/>
      <c r="H74" s="349"/>
      <c r="I74" s="349"/>
      <c r="J74" s="286" t="s">
        <v>4491</v>
      </c>
      <c r="K74" s="301" t="s">
        <v>4383</v>
      </c>
      <c r="L74" s="310" t="s">
        <v>5791</v>
      </c>
      <c r="M74" s="301" t="s">
        <v>4508</v>
      </c>
      <c r="N74" s="310" t="s">
        <v>4702</v>
      </c>
      <c r="O74" s="18" t="s">
        <v>4506</v>
      </c>
      <c r="P74" s="310" t="s">
        <v>4420</v>
      </c>
      <c r="Q74" s="310" t="s">
        <v>4420</v>
      </c>
      <c r="R74" s="310" t="s">
        <v>4420</v>
      </c>
      <c r="S74" s="310" t="s">
        <v>5791</v>
      </c>
      <c r="T74" s="59" t="s">
        <v>4420</v>
      </c>
      <c r="U74" s="59" t="s">
        <v>5791</v>
      </c>
      <c r="V74" s="59" t="s">
        <v>4420</v>
      </c>
      <c r="W74" s="59" t="s">
        <v>5791</v>
      </c>
      <c r="X74" s="310" t="s">
        <v>4420</v>
      </c>
      <c r="Y74" s="310" t="s">
        <v>5791</v>
      </c>
      <c r="Z74" s="310" t="s">
        <v>4558</v>
      </c>
      <c r="AA74" s="18">
        <v>10</v>
      </c>
      <c r="AB74" s="224">
        <v>0</v>
      </c>
      <c r="AC74" s="140">
        <v>0</v>
      </c>
      <c r="AD74" s="301" t="s">
        <v>4021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1" t="s">
        <v>3922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0">
        <v>32</v>
      </c>
      <c r="AS74" s="310">
        <v>180</v>
      </c>
      <c r="AT74" s="310">
        <v>400</v>
      </c>
      <c r="AU74" s="21">
        <f t="shared" si="16"/>
        <v>0</v>
      </c>
      <c r="AV74" s="21">
        <v>0</v>
      </c>
      <c r="AW74" s="301" t="s">
        <v>5806</v>
      </c>
      <c r="AX74" s="310" t="s">
        <v>6129</v>
      </c>
      <c r="AY74" s="310">
        <v>20</v>
      </c>
      <c r="AZ74" s="310">
        <v>24</v>
      </c>
      <c r="BA74" s="310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4420</v>
      </c>
      <c r="BH74" s="310" t="s">
        <v>4465</v>
      </c>
      <c r="BI74" s="310" t="s">
        <v>6204</v>
      </c>
      <c r="BJ74" s="310">
        <v>4</v>
      </c>
      <c r="BK74" s="310">
        <v>6</v>
      </c>
      <c r="BL74" s="196" t="s">
        <v>5791</v>
      </c>
      <c r="BM74" s="197" t="s">
        <v>5791</v>
      </c>
      <c r="BN74" s="197" t="s">
        <v>5791</v>
      </c>
      <c r="BO74" s="197" t="s">
        <v>5791</v>
      </c>
      <c r="BP74" s="197" t="s">
        <v>5791</v>
      </c>
      <c r="BQ74" s="197" t="s">
        <v>5791</v>
      </c>
      <c r="BR74" s="197" t="s">
        <v>5791</v>
      </c>
      <c r="BS74" s="197" t="s">
        <v>5791</v>
      </c>
      <c r="BT74" s="196" t="s">
        <v>5791</v>
      </c>
      <c r="BU74" s="197" t="s">
        <v>5791</v>
      </c>
      <c r="BV74" s="197" t="s">
        <v>5791</v>
      </c>
      <c r="BW74" s="197" t="s">
        <v>5791</v>
      </c>
      <c r="BX74" s="197" t="s">
        <v>5791</v>
      </c>
      <c r="BY74" s="197" t="s">
        <v>5791</v>
      </c>
      <c r="BZ74" s="212" t="s">
        <v>5791</v>
      </c>
      <c r="CA74" s="197" t="s">
        <v>5791</v>
      </c>
      <c r="CB74" s="197" t="s">
        <v>5791</v>
      </c>
      <c r="CC74" s="197" t="s">
        <v>5791</v>
      </c>
      <c r="CD74" s="197" t="s">
        <v>5791</v>
      </c>
      <c r="CE74" s="197" t="s">
        <v>5791</v>
      </c>
      <c r="CF74" s="212" t="s">
        <v>5791</v>
      </c>
      <c r="CG74" s="32" t="s">
        <v>4449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4449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4449</v>
      </c>
      <c r="CT74" s="46">
        <v>235</v>
      </c>
      <c r="CU74" s="310">
        <v>240</v>
      </c>
      <c r="CV74" s="59">
        <v>360</v>
      </c>
      <c r="CW74" s="32">
        <v>450</v>
      </c>
      <c r="CX74" s="60">
        <v>200000</v>
      </c>
      <c r="CY74" s="201" t="s">
        <v>5791</v>
      </c>
      <c r="CZ74" s="202" t="s">
        <v>5791</v>
      </c>
      <c r="DA74" s="202" t="s">
        <v>5791</v>
      </c>
      <c r="DB74" s="203" t="s">
        <v>5791</v>
      </c>
      <c r="DC74" s="201" t="s">
        <v>5791</v>
      </c>
      <c r="DD74" s="202" t="s">
        <v>5791</v>
      </c>
      <c r="DE74" s="203" t="s">
        <v>5791</v>
      </c>
      <c r="DF74" s="274" t="s">
        <v>5791</v>
      </c>
      <c r="DG74" s="310">
        <v>8.8000000000000007</v>
      </c>
      <c r="DH74" s="310">
        <v>640</v>
      </c>
      <c r="DI74" s="32">
        <v>730</v>
      </c>
      <c r="DJ74" s="310">
        <v>800</v>
      </c>
      <c r="DK74" s="32">
        <v>940</v>
      </c>
      <c r="DL74" s="60">
        <v>200000</v>
      </c>
      <c r="DM74" s="29" t="s">
        <v>4572</v>
      </c>
      <c r="DN74" s="310" t="s">
        <v>6053</v>
      </c>
      <c r="DO74" s="306" t="s">
        <v>4565</v>
      </c>
    </row>
    <row r="75" spans="1:119">
      <c r="A75" s="18">
        <v>70</v>
      </c>
      <c r="B75" s="349"/>
      <c r="C75" s="349"/>
      <c r="D75" s="360"/>
      <c r="E75" s="360"/>
      <c r="F75" s="349"/>
      <c r="G75" s="349"/>
      <c r="H75" s="349"/>
      <c r="I75" s="349"/>
      <c r="J75" s="286" t="s">
        <v>4492</v>
      </c>
      <c r="K75" s="301" t="s">
        <v>4383</v>
      </c>
      <c r="L75" s="310" t="s">
        <v>5791</v>
      </c>
      <c r="M75" s="301" t="s">
        <v>4508</v>
      </c>
      <c r="N75" s="310" t="s">
        <v>4702</v>
      </c>
      <c r="O75" s="18" t="s">
        <v>4506</v>
      </c>
      <c r="P75" s="310" t="s">
        <v>4420</v>
      </c>
      <c r="Q75" s="310" t="s">
        <v>4420</v>
      </c>
      <c r="R75" s="310" t="s">
        <v>4420</v>
      </c>
      <c r="S75" s="310" t="s">
        <v>5791</v>
      </c>
      <c r="T75" s="59" t="s">
        <v>4420</v>
      </c>
      <c r="U75" s="59" t="s">
        <v>5791</v>
      </c>
      <c r="V75" s="59" t="s">
        <v>4420</v>
      </c>
      <c r="W75" s="59" t="s">
        <v>5791</v>
      </c>
      <c r="X75" s="310" t="s">
        <v>4420</v>
      </c>
      <c r="Y75" s="310" t="s">
        <v>5791</v>
      </c>
      <c r="Z75" s="310" t="s">
        <v>4558</v>
      </c>
      <c r="AA75" s="18">
        <v>10</v>
      </c>
      <c r="AB75" s="224">
        <v>0</v>
      </c>
      <c r="AC75" s="140">
        <v>0</v>
      </c>
      <c r="AD75" s="301" t="s">
        <v>4021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1" t="s">
        <v>3922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1" t="s">
        <v>5806</v>
      </c>
      <c r="AX75" s="310" t="s">
        <v>6129</v>
      </c>
      <c r="AY75" s="310">
        <v>34</v>
      </c>
      <c r="AZ75" s="310">
        <v>24</v>
      </c>
      <c r="BA75" s="310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4470</v>
      </c>
      <c r="BH75" s="310" t="s">
        <v>6206</v>
      </c>
      <c r="BI75" s="310" t="s">
        <v>6204</v>
      </c>
      <c r="BJ75" s="310">
        <v>4</v>
      </c>
      <c r="BK75" s="310">
        <v>6</v>
      </c>
      <c r="BL75" s="196" t="s">
        <v>5791</v>
      </c>
      <c r="BM75" s="197" t="s">
        <v>5791</v>
      </c>
      <c r="BN75" s="197" t="s">
        <v>5791</v>
      </c>
      <c r="BO75" s="197" t="s">
        <v>5791</v>
      </c>
      <c r="BP75" s="197" t="s">
        <v>5791</v>
      </c>
      <c r="BQ75" s="197" t="s">
        <v>5791</v>
      </c>
      <c r="BR75" s="197" t="s">
        <v>5791</v>
      </c>
      <c r="BS75" s="197" t="s">
        <v>5791</v>
      </c>
      <c r="BT75" s="196" t="s">
        <v>5791</v>
      </c>
      <c r="BU75" s="197" t="s">
        <v>5791</v>
      </c>
      <c r="BV75" s="197" t="s">
        <v>5791</v>
      </c>
      <c r="BW75" s="197" t="s">
        <v>5791</v>
      </c>
      <c r="BX75" s="197" t="s">
        <v>5791</v>
      </c>
      <c r="BY75" s="197" t="s">
        <v>5791</v>
      </c>
      <c r="BZ75" s="212" t="s">
        <v>5791</v>
      </c>
      <c r="CA75" s="197" t="s">
        <v>5791</v>
      </c>
      <c r="CB75" s="197" t="s">
        <v>5791</v>
      </c>
      <c r="CC75" s="197" t="s">
        <v>5791</v>
      </c>
      <c r="CD75" s="197" t="s">
        <v>5791</v>
      </c>
      <c r="CE75" s="197" t="s">
        <v>5791</v>
      </c>
      <c r="CF75" s="212" t="s">
        <v>5791</v>
      </c>
      <c r="CG75" s="32" t="s">
        <v>4449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4449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4449</v>
      </c>
      <c r="CT75" s="46">
        <v>235</v>
      </c>
      <c r="CU75" s="310">
        <v>240</v>
      </c>
      <c r="CV75" s="59">
        <v>360</v>
      </c>
      <c r="CW75" s="32">
        <v>450</v>
      </c>
      <c r="CX75" s="60">
        <v>200000</v>
      </c>
      <c r="CY75" s="201" t="s">
        <v>5791</v>
      </c>
      <c r="CZ75" s="202" t="s">
        <v>5791</v>
      </c>
      <c r="DA75" s="202" t="s">
        <v>5791</v>
      </c>
      <c r="DB75" s="203" t="s">
        <v>5791</v>
      </c>
      <c r="DC75" s="201" t="s">
        <v>5791</v>
      </c>
      <c r="DD75" s="202" t="s">
        <v>5791</v>
      </c>
      <c r="DE75" s="203" t="s">
        <v>5791</v>
      </c>
      <c r="DF75" s="274" t="s">
        <v>5791</v>
      </c>
      <c r="DG75" s="310">
        <v>8.8000000000000007</v>
      </c>
      <c r="DH75" s="310">
        <v>640</v>
      </c>
      <c r="DI75" s="32">
        <v>730</v>
      </c>
      <c r="DJ75" s="310">
        <v>800</v>
      </c>
      <c r="DK75" s="32">
        <v>940</v>
      </c>
      <c r="DL75" s="60">
        <v>200000</v>
      </c>
      <c r="DM75" s="29" t="s">
        <v>4572</v>
      </c>
      <c r="DN75" s="310" t="s">
        <v>6053</v>
      </c>
      <c r="DO75" s="306" t="s">
        <v>4565</v>
      </c>
    </row>
    <row r="76" spans="1:119" ht="16.2" thickBot="1">
      <c r="A76" s="18">
        <v>71</v>
      </c>
      <c r="B76" s="349"/>
      <c r="C76" s="349"/>
      <c r="D76" s="360"/>
      <c r="E76" s="360"/>
      <c r="F76" s="349"/>
      <c r="G76" s="349"/>
      <c r="H76" s="349"/>
      <c r="I76" s="349"/>
      <c r="J76" s="286" t="s">
        <v>4493</v>
      </c>
      <c r="K76" s="301" t="s">
        <v>4383</v>
      </c>
      <c r="L76" s="311" t="s">
        <v>5791</v>
      </c>
      <c r="M76" s="301" t="s">
        <v>4508</v>
      </c>
      <c r="N76" s="310" t="s">
        <v>4702</v>
      </c>
      <c r="O76" s="18" t="s">
        <v>4506</v>
      </c>
      <c r="P76" s="310" t="s">
        <v>4420</v>
      </c>
      <c r="Q76" s="310" t="s">
        <v>4420</v>
      </c>
      <c r="R76" s="310" t="s">
        <v>4420</v>
      </c>
      <c r="S76" s="311" t="s">
        <v>5791</v>
      </c>
      <c r="T76" s="59" t="s">
        <v>4420</v>
      </c>
      <c r="U76" s="59" t="s">
        <v>5791</v>
      </c>
      <c r="V76" s="59" t="s">
        <v>4420</v>
      </c>
      <c r="W76" s="59" t="s">
        <v>5791</v>
      </c>
      <c r="X76" s="310" t="s">
        <v>4420</v>
      </c>
      <c r="Y76" s="311" t="s">
        <v>5791</v>
      </c>
      <c r="Z76" s="310" t="s">
        <v>4558</v>
      </c>
      <c r="AA76" s="18">
        <v>10</v>
      </c>
      <c r="AB76" s="224">
        <v>0</v>
      </c>
      <c r="AC76" s="140">
        <v>0</v>
      </c>
      <c r="AD76" s="301" t="s">
        <v>4021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1" t="s">
        <v>3922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1" t="s">
        <v>5806</v>
      </c>
      <c r="AX76" s="310" t="s">
        <v>6129</v>
      </c>
      <c r="AY76" s="310">
        <v>54</v>
      </c>
      <c r="AZ76" s="310">
        <v>24</v>
      </c>
      <c r="BA76" s="310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4420</v>
      </c>
      <c r="BH76" s="310" t="s">
        <v>6204</v>
      </c>
      <c r="BI76" s="310" t="s">
        <v>6204</v>
      </c>
      <c r="BJ76" s="310">
        <v>2</v>
      </c>
      <c r="BK76" s="310">
        <v>4</v>
      </c>
      <c r="BL76" s="196" t="s">
        <v>5791</v>
      </c>
      <c r="BM76" s="197" t="s">
        <v>5791</v>
      </c>
      <c r="BN76" s="197" t="s">
        <v>5791</v>
      </c>
      <c r="BO76" s="197" t="s">
        <v>5791</v>
      </c>
      <c r="BP76" s="197" t="s">
        <v>5791</v>
      </c>
      <c r="BQ76" s="197" t="s">
        <v>5791</v>
      </c>
      <c r="BR76" s="197" t="s">
        <v>5791</v>
      </c>
      <c r="BS76" s="197" t="s">
        <v>5791</v>
      </c>
      <c r="BT76" s="196" t="s">
        <v>5791</v>
      </c>
      <c r="BU76" s="197" t="s">
        <v>5791</v>
      </c>
      <c r="BV76" s="197" t="s">
        <v>5791</v>
      </c>
      <c r="BW76" s="197" t="s">
        <v>5791</v>
      </c>
      <c r="BX76" s="197" t="s">
        <v>5791</v>
      </c>
      <c r="BY76" s="197" t="s">
        <v>5791</v>
      </c>
      <c r="BZ76" s="212" t="s">
        <v>5791</v>
      </c>
      <c r="CA76" s="197" t="s">
        <v>5791</v>
      </c>
      <c r="CB76" s="197" t="s">
        <v>5791</v>
      </c>
      <c r="CC76" s="197" t="s">
        <v>5791</v>
      </c>
      <c r="CD76" s="197" t="s">
        <v>5791</v>
      </c>
      <c r="CE76" s="197" t="s">
        <v>5791</v>
      </c>
      <c r="CF76" s="212" t="s">
        <v>5791</v>
      </c>
      <c r="CG76" s="32" t="s">
        <v>4449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4449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4449</v>
      </c>
      <c r="CT76" s="46">
        <v>235</v>
      </c>
      <c r="CU76" s="310">
        <v>240</v>
      </c>
      <c r="CV76" s="59">
        <v>360</v>
      </c>
      <c r="CW76" s="32">
        <v>450</v>
      </c>
      <c r="CX76" s="60">
        <v>200000</v>
      </c>
      <c r="CY76" s="201" t="s">
        <v>5791</v>
      </c>
      <c r="CZ76" s="202" t="s">
        <v>5791</v>
      </c>
      <c r="DA76" s="202" t="s">
        <v>5791</v>
      </c>
      <c r="DB76" s="203" t="s">
        <v>5791</v>
      </c>
      <c r="DC76" s="201" t="s">
        <v>5791</v>
      </c>
      <c r="DD76" s="202" t="s">
        <v>5791</v>
      </c>
      <c r="DE76" s="203" t="s">
        <v>5791</v>
      </c>
      <c r="DF76" s="274" t="s">
        <v>5791</v>
      </c>
      <c r="DG76" s="310">
        <v>8.8000000000000007</v>
      </c>
      <c r="DH76" s="310">
        <v>640</v>
      </c>
      <c r="DI76" s="32">
        <v>730</v>
      </c>
      <c r="DJ76" s="310">
        <v>800</v>
      </c>
      <c r="DK76" s="32">
        <v>940</v>
      </c>
      <c r="DL76" s="60">
        <v>200000</v>
      </c>
      <c r="DM76" s="29" t="s">
        <v>4781</v>
      </c>
      <c r="DN76" s="310" t="s">
        <v>6053</v>
      </c>
      <c r="DO76" s="306" t="s">
        <v>4565</v>
      </c>
    </row>
    <row r="77" spans="1:119" ht="15.6" customHeight="1">
      <c r="A77" s="17">
        <v>72</v>
      </c>
      <c r="B77" s="348">
        <v>7</v>
      </c>
      <c r="C77" s="348">
        <v>1981</v>
      </c>
      <c r="D77" s="359" t="s">
        <v>4666</v>
      </c>
      <c r="E77" s="359" t="s">
        <v>4837</v>
      </c>
      <c r="F77" s="348">
        <v>4</v>
      </c>
      <c r="G77" s="348" t="s">
        <v>5902</v>
      </c>
      <c r="H77" s="348" t="s">
        <v>5901</v>
      </c>
      <c r="I77" s="348" t="s">
        <v>6218</v>
      </c>
      <c r="J77" s="284" t="s">
        <v>4511</v>
      </c>
      <c r="K77" s="300" t="s">
        <v>4383</v>
      </c>
      <c r="L77" s="310" t="s">
        <v>5791</v>
      </c>
      <c r="M77" s="300" t="s">
        <v>4507</v>
      </c>
      <c r="N77" s="309" t="s">
        <v>4701</v>
      </c>
      <c r="O77" s="17" t="s">
        <v>4506</v>
      </c>
      <c r="P77" s="309" t="s">
        <v>4420</v>
      </c>
      <c r="Q77" s="309" t="s">
        <v>4420</v>
      </c>
      <c r="R77" s="309" t="s">
        <v>6165</v>
      </c>
      <c r="S77" s="310">
        <v>12</v>
      </c>
      <c r="T77" s="59" t="s">
        <v>4420</v>
      </c>
      <c r="U77" s="59" t="s">
        <v>5791</v>
      </c>
      <c r="V77" s="59" t="s">
        <v>4420</v>
      </c>
      <c r="W77" s="59" t="s">
        <v>5791</v>
      </c>
      <c r="X77" s="309" t="s">
        <v>4420</v>
      </c>
      <c r="Y77" s="310" t="s">
        <v>5791</v>
      </c>
      <c r="Z77" s="30" t="s">
        <v>4558</v>
      </c>
      <c r="AA77" s="87">
        <v>6</v>
      </c>
      <c r="AB77" s="225">
        <v>0</v>
      </c>
      <c r="AC77" s="152">
        <v>0</v>
      </c>
      <c r="AD77" s="300" t="s">
        <v>4217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300" t="s">
        <v>4239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0" t="s">
        <v>5806</v>
      </c>
      <c r="AX77" s="309" t="s">
        <v>6129</v>
      </c>
      <c r="AY77" s="30">
        <v>120</v>
      </c>
      <c r="AZ77" s="309">
        <v>22</v>
      </c>
      <c r="BA77" s="309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4420</v>
      </c>
      <c r="BH77" s="309" t="s">
        <v>4465</v>
      </c>
      <c r="BI77" s="309" t="s">
        <v>4465</v>
      </c>
      <c r="BJ77" s="309">
        <v>4</v>
      </c>
      <c r="BK77" s="17">
        <v>8</v>
      </c>
      <c r="BL77" s="194" t="s">
        <v>5791</v>
      </c>
      <c r="BM77" s="195" t="s">
        <v>5791</v>
      </c>
      <c r="BN77" s="195" t="s">
        <v>5791</v>
      </c>
      <c r="BO77" s="195" t="s">
        <v>5791</v>
      </c>
      <c r="BP77" s="195" t="s">
        <v>5791</v>
      </c>
      <c r="BQ77" s="195" t="s">
        <v>5791</v>
      </c>
      <c r="BR77" s="195" t="s">
        <v>5791</v>
      </c>
      <c r="BS77" s="195" t="s">
        <v>5791</v>
      </c>
      <c r="BT77" s="194" t="s">
        <v>5791</v>
      </c>
      <c r="BU77" s="195" t="s">
        <v>5791</v>
      </c>
      <c r="BV77" s="195" t="s">
        <v>5791</v>
      </c>
      <c r="BW77" s="195" t="s">
        <v>5791</v>
      </c>
      <c r="BX77" s="195" t="s">
        <v>5791</v>
      </c>
      <c r="BY77" s="195" t="s">
        <v>5791</v>
      </c>
      <c r="BZ77" s="213" t="s">
        <v>5791</v>
      </c>
      <c r="CA77" s="195" t="s">
        <v>5791</v>
      </c>
      <c r="CB77" s="195" t="s">
        <v>5791</v>
      </c>
      <c r="CC77" s="195" t="s">
        <v>5791</v>
      </c>
      <c r="CD77" s="195" t="s">
        <v>5791</v>
      </c>
      <c r="CE77" s="195" t="s">
        <v>5791</v>
      </c>
      <c r="CF77" s="213" t="s">
        <v>5791</v>
      </c>
      <c r="CG77" s="30" t="s">
        <v>4449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4449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4449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5791</v>
      </c>
      <c r="CZ77" s="199" t="s">
        <v>5791</v>
      </c>
      <c r="DA77" s="199" t="s">
        <v>5791</v>
      </c>
      <c r="DB77" s="200" t="s">
        <v>5791</v>
      </c>
      <c r="DC77" s="198" t="s">
        <v>5791</v>
      </c>
      <c r="DD77" s="199" t="s">
        <v>5791</v>
      </c>
      <c r="DE77" s="200" t="s">
        <v>5791</v>
      </c>
      <c r="DF77" s="273" t="s">
        <v>5791</v>
      </c>
      <c r="DG77" s="309" t="s">
        <v>4513</v>
      </c>
      <c r="DH77" s="302">
        <v>640</v>
      </c>
      <c r="DI77" s="30">
        <v>730</v>
      </c>
      <c r="DJ77" s="302">
        <v>800</v>
      </c>
      <c r="DK77" s="30">
        <v>940</v>
      </c>
      <c r="DL77" s="75">
        <v>200000</v>
      </c>
      <c r="DM77" s="28" t="s">
        <v>4770</v>
      </c>
      <c r="DN77" s="309" t="s">
        <v>4560</v>
      </c>
      <c r="DO77" s="305" t="s">
        <v>4565</v>
      </c>
    </row>
    <row r="78" spans="1:119">
      <c r="A78" s="18">
        <v>73</v>
      </c>
      <c r="B78" s="349"/>
      <c r="C78" s="349"/>
      <c r="D78" s="360"/>
      <c r="E78" s="360"/>
      <c r="F78" s="349"/>
      <c r="G78" s="349"/>
      <c r="H78" s="349"/>
      <c r="I78" s="349"/>
      <c r="J78" s="286" t="s">
        <v>4397</v>
      </c>
      <c r="K78" s="301" t="s">
        <v>4383</v>
      </c>
      <c r="L78" s="310" t="s">
        <v>5791</v>
      </c>
      <c r="M78" s="301" t="s">
        <v>4507</v>
      </c>
      <c r="N78" s="310" t="s">
        <v>4701</v>
      </c>
      <c r="O78" s="18" t="s">
        <v>4506</v>
      </c>
      <c r="P78" s="310" t="s">
        <v>4420</v>
      </c>
      <c r="Q78" s="310" t="s">
        <v>4420</v>
      </c>
      <c r="R78" s="310" t="s">
        <v>6165</v>
      </c>
      <c r="S78" s="310">
        <v>12</v>
      </c>
      <c r="T78" s="59" t="s">
        <v>4420</v>
      </c>
      <c r="U78" s="59" t="s">
        <v>5791</v>
      </c>
      <c r="V78" s="59" t="s">
        <v>4420</v>
      </c>
      <c r="W78" s="59" t="s">
        <v>5791</v>
      </c>
      <c r="X78" s="310" t="s">
        <v>4420</v>
      </c>
      <c r="Y78" s="310" t="s">
        <v>5791</v>
      </c>
      <c r="Z78" s="32" t="s">
        <v>4558</v>
      </c>
      <c r="AA78" s="72">
        <v>6</v>
      </c>
      <c r="AB78" s="224">
        <v>0</v>
      </c>
      <c r="AC78" s="140">
        <v>0</v>
      </c>
      <c r="AD78" s="301" t="s">
        <v>4217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1" t="s">
        <v>4239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1" t="s">
        <v>5806</v>
      </c>
      <c r="AX78" s="310" t="s">
        <v>6129</v>
      </c>
      <c r="AY78" s="310">
        <v>120</v>
      </c>
      <c r="AZ78" s="310">
        <v>22</v>
      </c>
      <c r="BA78" s="310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4420</v>
      </c>
      <c r="BH78" s="310" t="s">
        <v>4465</v>
      </c>
      <c r="BI78" s="310" t="s">
        <v>4465</v>
      </c>
      <c r="BJ78" s="310">
        <v>4</v>
      </c>
      <c r="BK78" s="18">
        <v>8</v>
      </c>
      <c r="BL78" s="196" t="s">
        <v>5791</v>
      </c>
      <c r="BM78" s="197" t="s">
        <v>5791</v>
      </c>
      <c r="BN78" s="197" t="s">
        <v>5791</v>
      </c>
      <c r="BO78" s="197" t="s">
        <v>5791</v>
      </c>
      <c r="BP78" s="197" t="s">
        <v>5791</v>
      </c>
      <c r="BQ78" s="197" t="s">
        <v>5791</v>
      </c>
      <c r="BR78" s="197" t="s">
        <v>5791</v>
      </c>
      <c r="BS78" s="197" t="s">
        <v>5791</v>
      </c>
      <c r="BT78" s="196" t="s">
        <v>5791</v>
      </c>
      <c r="BU78" s="197" t="s">
        <v>5791</v>
      </c>
      <c r="BV78" s="197" t="s">
        <v>5791</v>
      </c>
      <c r="BW78" s="197" t="s">
        <v>5791</v>
      </c>
      <c r="BX78" s="197" t="s">
        <v>5791</v>
      </c>
      <c r="BY78" s="197" t="s">
        <v>5791</v>
      </c>
      <c r="BZ78" s="212" t="s">
        <v>5791</v>
      </c>
      <c r="CA78" s="197" t="s">
        <v>5791</v>
      </c>
      <c r="CB78" s="197" t="s">
        <v>5791</v>
      </c>
      <c r="CC78" s="197" t="s">
        <v>5791</v>
      </c>
      <c r="CD78" s="197" t="s">
        <v>5791</v>
      </c>
      <c r="CE78" s="197" t="s">
        <v>5791</v>
      </c>
      <c r="CF78" s="212" t="s">
        <v>5791</v>
      </c>
      <c r="CG78" s="32" t="s">
        <v>4449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4449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4449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5791</v>
      </c>
      <c r="CZ78" s="202" t="s">
        <v>5791</v>
      </c>
      <c r="DA78" s="202" t="s">
        <v>5791</v>
      </c>
      <c r="DB78" s="203" t="s">
        <v>5791</v>
      </c>
      <c r="DC78" s="201" t="s">
        <v>5791</v>
      </c>
      <c r="DD78" s="202" t="s">
        <v>5791</v>
      </c>
      <c r="DE78" s="203" t="s">
        <v>5791</v>
      </c>
      <c r="DF78" s="274" t="s">
        <v>5791</v>
      </c>
      <c r="DG78" s="310" t="s">
        <v>4513</v>
      </c>
      <c r="DH78" s="303">
        <v>640</v>
      </c>
      <c r="DI78" s="32">
        <v>730</v>
      </c>
      <c r="DJ78" s="303">
        <v>800</v>
      </c>
      <c r="DK78" s="32">
        <v>940</v>
      </c>
      <c r="DL78" s="60">
        <v>200000</v>
      </c>
      <c r="DM78" s="29" t="s">
        <v>4770</v>
      </c>
      <c r="DN78" s="310" t="s">
        <v>4560</v>
      </c>
      <c r="DO78" s="306" t="s">
        <v>6208</v>
      </c>
    </row>
    <row r="79" spans="1:119">
      <c r="A79" s="18">
        <v>74</v>
      </c>
      <c r="B79" s="349"/>
      <c r="C79" s="349"/>
      <c r="D79" s="360"/>
      <c r="E79" s="360"/>
      <c r="F79" s="349"/>
      <c r="G79" s="349"/>
      <c r="H79" s="349"/>
      <c r="I79" s="349"/>
      <c r="J79" s="286" t="s">
        <v>4398</v>
      </c>
      <c r="K79" s="301" t="s">
        <v>4383</v>
      </c>
      <c r="L79" s="310" t="s">
        <v>5791</v>
      </c>
      <c r="M79" s="301" t="s">
        <v>4507</v>
      </c>
      <c r="N79" s="310" t="s">
        <v>4701</v>
      </c>
      <c r="O79" s="18" t="s">
        <v>4506</v>
      </c>
      <c r="P79" s="310" t="s">
        <v>4420</v>
      </c>
      <c r="Q79" s="310" t="s">
        <v>4420</v>
      </c>
      <c r="R79" s="310" t="s">
        <v>6165</v>
      </c>
      <c r="S79" s="310">
        <v>12</v>
      </c>
      <c r="T79" s="59" t="s">
        <v>4420</v>
      </c>
      <c r="U79" s="59" t="s">
        <v>5791</v>
      </c>
      <c r="V79" s="59" t="s">
        <v>4420</v>
      </c>
      <c r="W79" s="59" t="s">
        <v>5791</v>
      </c>
      <c r="X79" s="310" t="s">
        <v>4420</v>
      </c>
      <c r="Y79" s="310" t="s">
        <v>5791</v>
      </c>
      <c r="Z79" s="32" t="s">
        <v>4558</v>
      </c>
      <c r="AA79" s="72">
        <v>6</v>
      </c>
      <c r="AB79" s="224">
        <v>0</v>
      </c>
      <c r="AC79" s="140">
        <v>0</v>
      </c>
      <c r="AD79" s="301" t="s">
        <v>4217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1" t="s">
        <v>4239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1" t="s">
        <v>5806</v>
      </c>
      <c r="AX79" s="310" t="s">
        <v>6129</v>
      </c>
      <c r="AY79" s="310">
        <v>111</v>
      </c>
      <c r="AZ79" s="310">
        <v>22</v>
      </c>
      <c r="BA79" s="310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4420</v>
      </c>
      <c r="BH79" s="310" t="s">
        <v>4465</v>
      </c>
      <c r="BI79" s="310" t="s">
        <v>4465</v>
      </c>
      <c r="BJ79" s="310">
        <v>4</v>
      </c>
      <c r="BK79" s="18">
        <v>8</v>
      </c>
      <c r="BL79" s="196" t="s">
        <v>5791</v>
      </c>
      <c r="BM79" s="197" t="s">
        <v>5791</v>
      </c>
      <c r="BN79" s="197" t="s">
        <v>5791</v>
      </c>
      <c r="BO79" s="197" t="s">
        <v>5791</v>
      </c>
      <c r="BP79" s="197" t="s">
        <v>5791</v>
      </c>
      <c r="BQ79" s="197" t="s">
        <v>5791</v>
      </c>
      <c r="BR79" s="197" t="s">
        <v>5791</v>
      </c>
      <c r="BS79" s="197" t="s">
        <v>5791</v>
      </c>
      <c r="BT79" s="196" t="s">
        <v>5791</v>
      </c>
      <c r="BU79" s="197" t="s">
        <v>5791</v>
      </c>
      <c r="BV79" s="197" t="s">
        <v>5791</v>
      </c>
      <c r="BW79" s="197" t="s">
        <v>5791</v>
      </c>
      <c r="BX79" s="197" t="s">
        <v>5791</v>
      </c>
      <c r="BY79" s="197" t="s">
        <v>5791</v>
      </c>
      <c r="BZ79" s="212" t="s">
        <v>5791</v>
      </c>
      <c r="CA79" s="197" t="s">
        <v>5791</v>
      </c>
      <c r="CB79" s="197" t="s">
        <v>5791</v>
      </c>
      <c r="CC79" s="197" t="s">
        <v>5791</v>
      </c>
      <c r="CD79" s="197" t="s">
        <v>5791</v>
      </c>
      <c r="CE79" s="197" t="s">
        <v>5791</v>
      </c>
      <c r="CF79" s="212" t="s">
        <v>5791</v>
      </c>
      <c r="CG79" s="32" t="s">
        <v>4449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4449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4449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5791</v>
      </c>
      <c r="CZ79" s="202" t="s">
        <v>5791</v>
      </c>
      <c r="DA79" s="202" t="s">
        <v>5791</v>
      </c>
      <c r="DB79" s="203" t="s">
        <v>5791</v>
      </c>
      <c r="DC79" s="201" t="s">
        <v>5791</v>
      </c>
      <c r="DD79" s="202" t="s">
        <v>5791</v>
      </c>
      <c r="DE79" s="203" t="s">
        <v>5791</v>
      </c>
      <c r="DF79" s="274" t="s">
        <v>5791</v>
      </c>
      <c r="DG79" s="310" t="s">
        <v>4513</v>
      </c>
      <c r="DH79" s="303">
        <v>640</v>
      </c>
      <c r="DI79" s="32">
        <v>730</v>
      </c>
      <c r="DJ79" s="303">
        <v>800</v>
      </c>
      <c r="DK79" s="32">
        <v>940</v>
      </c>
      <c r="DL79" s="60">
        <v>200000</v>
      </c>
      <c r="DM79" s="29" t="s">
        <v>4770</v>
      </c>
      <c r="DN79" s="310" t="s">
        <v>4560</v>
      </c>
      <c r="DO79" s="306" t="s">
        <v>6209</v>
      </c>
    </row>
    <row r="80" spans="1:119" ht="16.2" thickBot="1">
      <c r="A80" s="14">
        <v>75</v>
      </c>
      <c r="B80" s="350"/>
      <c r="C80" s="350"/>
      <c r="D80" s="372"/>
      <c r="E80" s="372"/>
      <c r="F80" s="350"/>
      <c r="G80" s="350"/>
      <c r="H80" s="350"/>
      <c r="I80" s="350"/>
      <c r="J80" s="285" t="s">
        <v>4399</v>
      </c>
      <c r="K80" s="308" t="s">
        <v>4383</v>
      </c>
      <c r="L80" s="311" t="s">
        <v>5791</v>
      </c>
      <c r="M80" s="308" t="s">
        <v>4507</v>
      </c>
      <c r="N80" s="311" t="s">
        <v>4701</v>
      </c>
      <c r="O80" s="14" t="s">
        <v>4506</v>
      </c>
      <c r="P80" s="311" t="s">
        <v>4420</v>
      </c>
      <c r="Q80" s="311" t="s">
        <v>4420</v>
      </c>
      <c r="R80" s="311" t="s">
        <v>6165</v>
      </c>
      <c r="S80" s="311">
        <v>10</v>
      </c>
      <c r="T80" s="86" t="s">
        <v>4420</v>
      </c>
      <c r="U80" s="86" t="s">
        <v>5791</v>
      </c>
      <c r="V80" s="86" t="s">
        <v>4420</v>
      </c>
      <c r="W80" s="86" t="s">
        <v>5791</v>
      </c>
      <c r="X80" s="311" t="s">
        <v>4420</v>
      </c>
      <c r="Y80" s="311" t="s">
        <v>5791</v>
      </c>
      <c r="Z80" s="34" t="s">
        <v>4558</v>
      </c>
      <c r="AA80" s="117">
        <v>6</v>
      </c>
      <c r="AB80" s="226">
        <v>0</v>
      </c>
      <c r="AC80" s="153">
        <v>0</v>
      </c>
      <c r="AD80" s="308" t="s">
        <v>4217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8" t="s">
        <v>4239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8" t="s">
        <v>5806</v>
      </c>
      <c r="AX80" s="311" t="s">
        <v>6129</v>
      </c>
      <c r="AY80" s="311">
        <v>130</v>
      </c>
      <c r="AZ80" s="311">
        <v>22</v>
      </c>
      <c r="BA80" s="311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4420</v>
      </c>
      <c r="BH80" s="311" t="s">
        <v>4465</v>
      </c>
      <c r="BI80" s="311" t="s">
        <v>4465</v>
      </c>
      <c r="BJ80" s="311">
        <v>4</v>
      </c>
      <c r="BK80" s="14">
        <v>8</v>
      </c>
      <c r="BL80" s="191" t="s">
        <v>5791</v>
      </c>
      <c r="BM80" s="192" t="s">
        <v>5791</v>
      </c>
      <c r="BN80" s="192" t="s">
        <v>5791</v>
      </c>
      <c r="BO80" s="192" t="s">
        <v>5791</v>
      </c>
      <c r="BP80" s="192" t="s">
        <v>5791</v>
      </c>
      <c r="BQ80" s="192" t="s">
        <v>5791</v>
      </c>
      <c r="BR80" s="192" t="s">
        <v>5791</v>
      </c>
      <c r="BS80" s="192" t="s">
        <v>5791</v>
      </c>
      <c r="BT80" s="191" t="s">
        <v>5791</v>
      </c>
      <c r="BU80" s="192" t="s">
        <v>5791</v>
      </c>
      <c r="BV80" s="192" t="s">
        <v>5791</v>
      </c>
      <c r="BW80" s="192" t="s">
        <v>5791</v>
      </c>
      <c r="BX80" s="192" t="s">
        <v>5791</v>
      </c>
      <c r="BY80" s="192" t="s">
        <v>5791</v>
      </c>
      <c r="BZ80" s="214" t="s">
        <v>5791</v>
      </c>
      <c r="CA80" s="192" t="s">
        <v>5791</v>
      </c>
      <c r="CB80" s="192" t="s">
        <v>5791</v>
      </c>
      <c r="CC80" s="192" t="s">
        <v>5791</v>
      </c>
      <c r="CD80" s="192" t="s">
        <v>5791</v>
      </c>
      <c r="CE80" s="192" t="s">
        <v>5791</v>
      </c>
      <c r="CF80" s="214" t="s">
        <v>5791</v>
      </c>
      <c r="CG80" s="34" t="s">
        <v>4449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4449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4449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5791</v>
      </c>
      <c r="CZ80" s="205" t="s">
        <v>5791</v>
      </c>
      <c r="DA80" s="205" t="s">
        <v>5791</v>
      </c>
      <c r="DB80" s="206" t="s">
        <v>5791</v>
      </c>
      <c r="DC80" s="204" t="s">
        <v>5791</v>
      </c>
      <c r="DD80" s="205" t="s">
        <v>5791</v>
      </c>
      <c r="DE80" s="206" t="s">
        <v>5791</v>
      </c>
      <c r="DF80" s="275" t="s">
        <v>5791</v>
      </c>
      <c r="DG80" s="311" t="s">
        <v>4513</v>
      </c>
      <c r="DH80" s="304">
        <v>640</v>
      </c>
      <c r="DI80" s="34">
        <v>730</v>
      </c>
      <c r="DJ80" s="304">
        <v>800</v>
      </c>
      <c r="DK80" s="34">
        <v>940</v>
      </c>
      <c r="DL80" s="76">
        <v>200000</v>
      </c>
      <c r="DM80" s="27" t="s">
        <v>4770</v>
      </c>
      <c r="DN80" s="311" t="s">
        <v>4560</v>
      </c>
      <c r="DO80" s="307" t="s">
        <v>6210</v>
      </c>
    </row>
    <row r="81" spans="1:119" ht="15.6" customHeight="1">
      <c r="A81" s="17">
        <v>76</v>
      </c>
      <c r="B81" s="348">
        <v>8</v>
      </c>
      <c r="C81" s="348">
        <v>1981</v>
      </c>
      <c r="D81" s="373" t="s">
        <v>5862</v>
      </c>
      <c r="E81" s="373" t="s">
        <v>5861</v>
      </c>
      <c r="F81" s="348">
        <v>6</v>
      </c>
      <c r="G81" s="348" t="s">
        <v>5902</v>
      </c>
      <c r="H81" s="348" t="s">
        <v>5901</v>
      </c>
      <c r="I81" s="348" t="s">
        <v>6220</v>
      </c>
      <c r="J81" s="284" t="s">
        <v>4511</v>
      </c>
      <c r="K81" s="300" t="s">
        <v>4383</v>
      </c>
      <c r="L81" s="310" t="s">
        <v>5791</v>
      </c>
      <c r="M81" s="300" t="s">
        <v>4507</v>
      </c>
      <c r="N81" s="309" t="s">
        <v>4700</v>
      </c>
      <c r="O81" s="17" t="s">
        <v>4506</v>
      </c>
      <c r="P81" s="309" t="s">
        <v>4420</v>
      </c>
      <c r="Q81" s="309" t="s">
        <v>4420</v>
      </c>
      <c r="R81" s="309" t="s">
        <v>6164</v>
      </c>
      <c r="S81" s="310">
        <v>10</v>
      </c>
      <c r="T81" s="59" t="s">
        <v>4420</v>
      </c>
      <c r="U81" s="59" t="s">
        <v>5791</v>
      </c>
      <c r="V81" s="59" t="s">
        <v>4420</v>
      </c>
      <c r="W81" s="59" t="s">
        <v>5791</v>
      </c>
      <c r="X81" s="309" t="s">
        <v>4420</v>
      </c>
      <c r="Y81" s="310" t="s">
        <v>5791</v>
      </c>
      <c r="Z81" s="309" t="s">
        <v>4558</v>
      </c>
      <c r="AA81" s="17">
        <v>8</v>
      </c>
      <c r="AB81" s="225">
        <v>0</v>
      </c>
      <c r="AC81" s="152">
        <v>0</v>
      </c>
      <c r="AD81" s="300" t="s">
        <v>4344</v>
      </c>
      <c r="AE81" s="16">
        <f>INDEX('[2]Cross-Section Database'!$C$2:$V$2928,MATCH(AD81,'[2]Cross-Section Database'!$B$2:$B$2928,0),3)</f>
        <v>215.8</v>
      </c>
      <c r="AF81" s="16">
        <f>INDEX('[2]Cross-Section Database'!$C$2:$V$2928,MATCH(AD81,'[2]Cross-Section Database'!$B$2:$B$2928,0),4)</f>
        <v>206.4</v>
      </c>
      <c r="AG81" s="44">
        <f>INDEX('[2]Cross-Section Database'!$C$2:$V$2928,MATCH(AD81,'[2]Cross-Section Database'!$B$2:$B$2928,0),6)</f>
        <v>17.3</v>
      </c>
      <c r="AH81" s="44">
        <f>INDEX('[2]Cross-Section Database'!$C$2:$V$2928,MATCH(AD81,'[2]Cross-Section Database'!$B$2:$B$2928,0),5)</f>
        <v>10</v>
      </c>
      <c r="AI81" s="26">
        <v>1150</v>
      </c>
      <c r="AJ81" s="309" t="s">
        <v>4227</v>
      </c>
      <c r="AK81" s="16">
        <f>INDEX('[2]Cross-Section Database'!$C$2:$V$2928,MATCH(AJ81,'[2]Cross-Section Database'!$B$2:$B$2928,0),3)</f>
        <v>403.2</v>
      </c>
      <c r="AL81" s="16">
        <f>INDEX('[2]Cross-Section Database'!$C$2:$V$2928,MATCH(AJ81,'[2]Cross-Section Database'!$B$2:$B$2928,0),4)</f>
        <v>142.19999999999999</v>
      </c>
      <c r="AM81" s="16">
        <f>INDEX('[2]Cross-Section Database'!$C$2:$V$2928,MATCH(AJ81,'[2]Cross-Section Database'!$B$2:$B$2928,0),6)</f>
        <v>11.2</v>
      </c>
      <c r="AN81" s="16">
        <f>INDEX('[2]Cross-Section Database'!$C$2:$V$2928,MATCH(AJ81,'[2]Cross-Section Database'!$B$2:$B$2928,0),5)</f>
        <v>6.8</v>
      </c>
      <c r="AO81" s="16">
        <v>912</v>
      </c>
      <c r="AP81" s="16">
        <f>INDEX('[2]Cross-Section Database'!$C$2:$V$3928,MATCH(AJ81,'[2]Cross-Section Database'!$B$2:$B$3928,0),11)</f>
        <v>156900000</v>
      </c>
      <c r="AQ81" s="26">
        <f>INDEX('[2]Cross-Section Database'!$C$2:$V$3928,MATCH(AJ81,'[2]Cross-Section Database'!$B$2:$B$3928,0),12)</f>
        <v>887600</v>
      </c>
      <c r="AR81" s="101">
        <v>12</v>
      </c>
      <c r="AS81" s="16">
        <v>200</v>
      </c>
      <c r="AT81" s="16">
        <v>440</v>
      </c>
      <c r="AU81" s="16">
        <v>32.5</v>
      </c>
      <c r="AV81" s="16">
        <v>32.5</v>
      </c>
      <c r="AW81" s="300" t="s">
        <v>5806</v>
      </c>
      <c r="AX81" s="309" t="s">
        <v>6129</v>
      </c>
      <c r="AY81" s="309">
        <v>185</v>
      </c>
      <c r="AZ81" s="309">
        <v>22</v>
      </c>
      <c r="BA81" s="309">
        <f t="shared" ref="BA81:BA86" si="17">IF(AZ81=24,353,IF(AZ81=22,303,IF(AZ81=20,245,IF(AZ81=16,157,0))))</f>
        <v>303</v>
      </c>
      <c r="BB81" s="16">
        <v>82.5</v>
      </c>
      <c r="BC81" s="16">
        <v>82.5</v>
      </c>
      <c r="BD81" s="16">
        <v>75</v>
      </c>
      <c r="BE81" s="16">
        <v>125</v>
      </c>
      <c r="BF81" s="16">
        <v>125</v>
      </c>
      <c r="BG81" s="22" t="s">
        <v>4420</v>
      </c>
      <c r="BH81" s="309" t="s">
        <v>6205</v>
      </c>
      <c r="BI81" s="309" t="s">
        <v>6204</v>
      </c>
      <c r="BJ81" s="309">
        <v>6</v>
      </c>
      <c r="BK81" s="309">
        <v>8</v>
      </c>
      <c r="BL81" s="194" t="s">
        <v>5791</v>
      </c>
      <c r="BM81" s="195" t="s">
        <v>5791</v>
      </c>
      <c r="BN81" s="195" t="s">
        <v>5791</v>
      </c>
      <c r="BO81" s="195" t="s">
        <v>5791</v>
      </c>
      <c r="BP81" s="195" t="s">
        <v>5791</v>
      </c>
      <c r="BQ81" s="195" t="s">
        <v>5791</v>
      </c>
      <c r="BR81" s="195" t="s">
        <v>5791</v>
      </c>
      <c r="BS81" s="195" t="s">
        <v>5791</v>
      </c>
      <c r="BT81" s="194" t="s">
        <v>5791</v>
      </c>
      <c r="BU81" s="195" t="s">
        <v>5791</v>
      </c>
      <c r="BV81" s="195" t="s">
        <v>5791</v>
      </c>
      <c r="BW81" s="195" t="s">
        <v>5791</v>
      </c>
      <c r="BX81" s="195" t="s">
        <v>5791</v>
      </c>
      <c r="BY81" s="195" t="s">
        <v>5791</v>
      </c>
      <c r="BZ81" s="195" t="s">
        <v>5791</v>
      </c>
      <c r="CA81" s="194" t="s">
        <v>5791</v>
      </c>
      <c r="CB81" s="195" t="s">
        <v>5791</v>
      </c>
      <c r="CC81" s="195" t="s">
        <v>5791</v>
      </c>
      <c r="CD81" s="195" t="s">
        <v>5791</v>
      </c>
      <c r="CE81" s="195" t="s">
        <v>5791</v>
      </c>
      <c r="CF81" s="213" t="s">
        <v>5791</v>
      </c>
      <c r="CG81" s="143" t="s">
        <v>5664</v>
      </c>
      <c r="CH81" s="71">
        <v>275</v>
      </c>
      <c r="CI81" s="30">
        <v>300</v>
      </c>
      <c r="CJ81" s="71">
        <v>410</v>
      </c>
      <c r="CK81" s="30">
        <v>450</v>
      </c>
      <c r="CL81" s="65">
        <v>200000</v>
      </c>
      <c r="CM81" s="143" t="s">
        <v>5664</v>
      </c>
      <c r="CN81" s="71">
        <v>275</v>
      </c>
      <c r="CO81" s="30">
        <v>300</v>
      </c>
      <c r="CP81" s="71">
        <v>410</v>
      </c>
      <c r="CQ81" s="30">
        <v>450</v>
      </c>
      <c r="CR81" s="65">
        <v>200000</v>
      </c>
      <c r="CS81" s="143" t="s">
        <v>5664</v>
      </c>
      <c r="CT81" s="71">
        <v>275</v>
      </c>
      <c r="CU81" s="30">
        <v>300</v>
      </c>
      <c r="CV81" s="71">
        <v>410</v>
      </c>
      <c r="CW81" s="30">
        <v>450</v>
      </c>
      <c r="CX81" s="65">
        <v>200000</v>
      </c>
      <c r="CY81" s="198" t="s">
        <v>5791</v>
      </c>
      <c r="CZ81" s="199" t="s">
        <v>5791</v>
      </c>
      <c r="DA81" s="199" t="s">
        <v>5791</v>
      </c>
      <c r="DB81" s="200" t="s">
        <v>5791</v>
      </c>
      <c r="DC81" s="198" t="s">
        <v>5791</v>
      </c>
      <c r="DD81" s="199" t="s">
        <v>5791</v>
      </c>
      <c r="DE81" s="200" t="s">
        <v>5791</v>
      </c>
      <c r="DF81" s="273" t="s">
        <v>5791</v>
      </c>
      <c r="DG81" s="309" t="s">
        <v>4513</v>
      </c>
      <c r="DH81" s="302">
        <v>660</v>
      </c>
      <c r="DI81" s="30">
        <v>730</v>
      </c>
      <c r="DJ81" s="302">
        <v>830</v>
      </c>
      <c r="DK81" s="30">
        <v>940</v>
      </c>
      <c r="DL81" s="75">
        <v>200000</v>
      </c>
      <c r="DM81" s="28" t="s">
        <v>4769</v>
      </c>
      <c r="DN81" s="302" t="s">
        <v>6053</v>
      </c>
      <c r="DO81" s="305" t="s">
        <v>6085</v>
      </c>
    </row>
    <row r="82" spans="1:119">
      <c r="A82" s="18">
        <v>77</v>
      </c>
      <c r="B82" s="349"/>
      <c r="C82" s="349"/>
      <c r="D82" s="374"/>
      <c r="E82" s="374"/>
      <c r="F82" s="349"/>
      <c r="G82" s="349"/>
      <c r="H82" s="349"/>
      <c r="I82" s="349"/>
      <c r="J82" s="286" t="s">
        <v>4397</v>
      </c>
      <c r="K82" s="301" t="s">
        <v>4383</v>
      </c>
      <c r="L82" s="310" t="s">
        <v>5791</v>
      </c>
      <c r="M82" s="301" t="s">
        <v>4507</v>
      </c>
      <c r="N82" s="310" t="s">
        <v>4700</v>
      </c>
      <c r="O82" s="18" t="s">
        <v>4506</v>
      </c>
      <c r="P82" s="310" t="s">
        <v>4420</v>
      </c>
      <c r="Q82" s="310" t="s">
        <v>4420</v>
      </c>
      <c r="R82" s="310" t="s">
        <v>6164</v>
      </c>
      <c r="S82" s="310">
        <v>10</v>
      </c>
      <c r="T82" s="59" t="s">
        <v>4420</v>
      </c>
      <c r="U82" s="59" t="s">
        <v>5791</v>
      </c>
      <c r="V82" s="59" t="s">
        <v>4420</v>
      </c>
      <c r="W82" s="59" t="s">
        <v>5791</v>
      </c>
      <c r="X82" s="310" t="s">
        <v>4420</v>
      </c>
      <c r="Y82" s="310" t="s">
        <v>5791</v>
      </c>
      <c r="Z82" s="310" t="s">
        <v>4558</v>
      </c>
      <c r="AA82" s="18">
        <v>8</v>
      </c>
      <c r="AB82" s="224">
        <v>0</v>
      </c>
      <c r="AC82" s="140">
        <v>0</v>
      </c>
      <c r="AD82" s="301" t="s">
        <v>4344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0" t="s">
        <v>4227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1" t="s">
        <v>5806</v>
      </c>
      <c r="AX82" s="310" t="s">
        <v>6129</v>
      </c>
      <c r="AY82" s="310">
        <v>185</v>
      </c>
      <c r="AZ82" s="310">
        <v>22</v>
      </c>
      <c r="BA82" s="310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4420</v>
      </c>
      <c r="BH82" s="310" t="s">
        <v>6205</v>
      </c>
      <c r="BI82" s="310" t="s">
        <v>6204</v>
      </c>
      <c r="BJ82" s="310">
        <v>6</v>
      </c>
      <c r="BK82" s="310">
        <v>8</v>
      </c>
      <c r="BL82" s="196" t="s">
        <v>5791</v>
      </c>
      <c r="BM82" s="197" t="s">
        <v>5791</v>
      </c>
      <c r="BN82" s="197" t="s">
        <v>5791</v>
      </c>
      <c r="BO82" s="197" t="s">
        <v>5791</v>
      </c>
      <c r="BP82" s="197" t="s">
        <v>5791</v>
      </c>
      <c r="BQ82" s="197" t="s">
        <v>5791</v>
      </c>
      <c r="BR82" s="197" t="s">
        <v>5791</v>
      </c>
      <c r="BS82" s="197" t="s">
        <v>5791</v>
      </c>
      <c r="BT82" s="196" t="s">
        <v>5791</v>
      </c>
      <c r="BU82" s="197" t="s">
        <v>5791</v>
      </c>
      <c r="BV82" s="197" t="s">
        <v>5791</v>
      </c>
      <c r="BW82" s="197" t="s">
        <v>5791</v>
      </c>
      <c r="BX82" s="197" t="s">
        <v>5791</v>
      </c>
      <c r="BY82" s="197" t="s">
        <v>5791</v>
      </c>
      <c r="BZ82" s="197" t="s">
        <v>5791</v>
      </c>
      <c r="CA82" s="196" t="s">
        <v>5791</v>
      </c>
      <c r="CB82" s="197" t="s">
        <v>5791</v>
      </c>
      <c r="CC82" s="197" t="s">
        <v>5791</v>
      </c>
      <c r="CD82" s="197" t="s">
        <v>5791</v>
      </c>
      <c r="CE82" s="197" t="s">
        <v>5791</v>
      </c>
      <c r="CF82" s="212" t="s">
        <v>5791</v>
      </c>
      <c r="CG82" s="134" t="s">
        <v>5664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5664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5664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5791</v>
      </c>
      <c r="CZ82" s="202" t="s">
        <v>5791</v>
      </c>
      <c r="DA82" s="202" t="s">
        <v>5791</v>
      </c>
      <c r="DB82" s="203" t="s">
        <v>5791</v>
      </c>
      <c r="DC82" s="201" t="s">
        <v>5791</v>
      </c>
      <c r="DD82" s="202" t="s">
        <v>5791</v>
      </c>
      <c r="DE82" s="203" t="s">
        <v>5791</v>
      </c>
      <c r="DF82" s="274" t="s">
        <v>5791</v>
      </c>
      <c r="DG82" s="310" t="s">
        <v>4513</v>
      </c>
      <c r="DH82" s="303">
        <v>660</v>
      </c>
      <c r="DI82" s="32">
        <v>730</v>
      </c>
      <c r="DJ82" s="303">
        <v>830</v>
      </c>
      <c r="DK82" s="32">
        <v>940</v>
      </c>
      <c r="DL82" s="60">
        <v>200000</v>
      </c>
      <c r="DM82" s="29" t="s">
        <v>5831</v>
      </c>
      <c r="DN82" s="303" t="s">
        <v>6053</v>
      </c>
      <c r="DO82" s="306" t="s">
        <v>6086</v>
      </c>
    </row>
    <row r="83" spans="1:119">
      <c r="A83" s="18">
        <v>78</v>
      </c>
      <c r="B83" s="349"/>
      <c r="C83" s="349"/>
      <c r="D83" s="374"/>
      <c r="E83" s="374"/>
      <c r="F83" s="349"/>
      <c r="G83" s="349"/>
      <c r="H83" s="349"/>
      <c r="I83" s="349"/>
      <c r="J83" s="286" t="s">
        <v>4398</v>
      </c>
      <c r="K83" s="301" t="s">
        <v>4383</v>
      </c>
      <c r="L83" s="310" t="s">
        <v>5791</v>
      </c>
      <c r="M83" s="301" t="s">
        <v>4507</v>
      </c>
      <c r="N83" s="310" t="s">
        <v>4700</v>
      </c>
      <c r="O83" s="18" t="s">
        <v>4506</v>
      </c>
      <c r="P83" s="310" t="s">
        <v>4420</v>
      </c>
      <c r="Q83" s="310" t="s">
        <v>4420</v>
      </c>
      <c r="R83" s="310" t="s">
        <v>6164</v>
      </c>
      <c r="S83" s="310">
        <v>10</v>
      </c>
      <c r="T83" s="59" t="s">
        <v>4420</v>
      </c>
      <c r="U83" s="59" t="s">
        <v>5791</v>
      </c>
      <c r="V83" s="59" t="s">
        <v>4420</v>
      </c>
      <c r="W83" s="59" t="s">
        <v>5791</v>
      </c>
      <c r="X83" s="310" t="s">
        <v>4420</v>
      </c>
      <c r="Y83" s="310" t="s">
        <v>5791</v>
      </c>
      <c r="Z83" s="310" t="s">
        <v>4558</v>
      </c>
      <c r="AA83" s="18">
        <v>8</v>
      </c>
      <c r="AB83" s="224">
        <v>0</v>
      </c>
      <c r="AC83" s="140">
        <v>0</v>
      </c>
      <c r="AD83" s="301" t="s">
        <v>4344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0" t="s">
        <v>4227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1" t="s">
        <v>5806</v>
      </c>
      <c r="AX83" s="310" t="s">
        <v>6129</v>
      </c>
      <c r="AY83" s="310">
        <v>185</v>
      </c>
      <c r="AZ83" s="310">
        <v>22</v>
      </c>
      <c r="BA83" s="310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4420</v>
      </c>
      <c r="BH83" s="310" t="s">
        <v>6205</v>
      </c>
      <c r="BI83" s="310" t="s">
        <v>6204</v>
      </c>
      <c r="BJ83" s="310">
        <v>6</v>
      </c>
      <c r="BK83" s="310">
        <v>8</v>
      </c>
      <c r="BL83" s="196" t="s">
        <v>5791</v>
      </c>
      <c r="BM83" s="197" t="s">
        <v>5791</v>
      </c>
      <c r="BN83" s="197" t="s">
        <v>5791</v>
      </c>
      <c r="BO83" s="197" t="s">
        <v>5791</v>
      </c>
      <c r="BP83" s="197" t="s">
        <v>5791</v>
      </c>
      <c r="BQ83" s="197" t="s">
        <v>5791</v>
      </c>
      <c r="BR83" s="197" t="s">
        <v>5791</v>
      </c>
      <c r="BS83" s="197" t="s">
        <v>5791</v>
      </c>
      <c r="BT83" s="196" t="s">
        <v>5791</v>
      </c>
      <c r="BU83" s="197" t="s">
        <v>5791</v>
      </c>
      <c r="BV83" s="197" t="s">
        <v>5791</v>
      </c>
      <c r="BW83" s="197" t="s">
        <v>5791</v>
      </c>
      <c r="BX83" s="197" t="s">
        <v>5791</v>
      </c>
      <c r="BY83" s="197" t="s">
        <v>5791</v>
      </c>
      <c r="BZ83" s="197" t="s">
        <v>5791</v>
      </c>
      <c r="CA83" s="196" t="s">
        <v>5791</v>
      </c>
      <c r="CB83" s="197" t="s">
        <v>5791</v>
      </c>
      <c r="CC83" s="197" t="s">
        <v>5791</v>
      </c>
      <c r="CD83" s="197" t="s">
        <v>5791</v>
      </c>
      <c r="CE83" s="197" t="s">
        <v>5791</v>
      </c>
      <c r="CF83" s="212" t="s">
        <v>5791</v>
      </c>
      <c r="CG83" s="134" t="s">
        <v>5664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5664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5664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5791</v>
      </c>
      <c r="CZ83" s="202" t="s">
        <v>5791</v>
      </c>
      <c r="DA83" s="202" t="s">
        <v>5791</v>
      </c>
      <c r="DB83" s="203" t="s">
        <v>5791</v>
      </c>
      <c r="DC83" s="201" t="s">
        <v>5791</v>
      </c>
      <c r="DD83" s="202" t="s">
        <v>5791</v>
      </c>
      <c r="DE83" s="203" t="s">
        <v>5791</v>
      </c>
      <c r="DF83" s="274" t="s">
        <v>5791</v>
      </c>
      <c r="DG83" s="310" t="s">
        <v>4513</v>
      </c>
      <c r="DH83" s="303">
        <v>660</v>
      </c>
      <c r="DI83" s="32">
        <v>730</v>
      </c>
      <c r="DJ83" s="303">
        <v>830</v>
      </c>
      <c r="DK83" s="32">
        <v>940</v>
      </c>
      <c r="DL83" s="60">
        <v>200000</v>
      </c>
      <c r="DM83" s="29" t="s">
        <v>5831</v>
      </c>
      <c r="DN83" s="303" t="s">
        <v>6053</v>
      </c>
      <c r="DO83" s="306" t="s">
        <v>6087</v>
      </c>
    </row>
    <row r="84" spans="1:119">
      <c r="A84" s="18">
        <v>79</v>
      </c>
      <c r="B84" s="349"/>
      <c r="C84" s="349"/>
      <c r="D84" s="374"/>
      <c r="E84" s="374"/>
      <c r="F84" s="349"/>
      <c r="G84" s="349"/>
      <c r="H84" s="349"/>
      <c r="I84" s="349"/>
      <c r="J84" s="286" t="s">
        <v>4399</v>
      </c>
      <c r="K84" s="301" t="s">
        <v>4383</v>
      </c>
      <c r="L84" s="310" t="s">
        <v>5791</v>
      </c>
      <c r="M84" s="301" t="s">
        <v>4507</v>
      </c>
      <c r="N84" s="310" t="s">
        <v>4700</v>
      </c>
      <c r="O84" s="18" t="s">
        <v>4506</v>
      </c>
      <c r="P84" s="310" t="s">
        <v>4420</v>
      </c>
      <c r="Q84" s="310" t="s">
        <v>4420</v>
      </c>
      <c r="R84" s="310" t="s">
        <v>6164</v>
      </c>
      <c r="S84" s="310">
        <v>10</v>
      </c>
      <c r="T84" s="59" t="s">
        <v>4420</v>
      </c>
      <c r="U84" s="59" t="s">
        <v>5791</v>
      </c>
      <c r="V84" s="59" t="s">
        <v>4420</v>
      </c>
      <c r="W84" s="59" t="s">
        <v>5791</v>
      </c>
      <c r="X84" s="310" t="s">
        <v>4420</v>
      </c>
      <c r="Y84" s="310" t="s">
        <v>5791</v>
      </c>
      <c r="Z84" s="310" t="s">
        <v>4558</v>
      </c>
      <c r="AA84" s="18">
        <v>8</v>
      </c>
      <c r="AB84" s="224">
        <v>0</v>
      </c>
      <c r="AC84" s="140">
        <v>0</v>
      </c>
      <c r="AD84" s="301" t="s">
        <v>4344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0" t="s">
        <v>4227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1" t="s">
        <v>5806</v>
      </c>
      <c r="AX84" s="310" t="s">
        <v>6129</v>
      </c>
      <c r="AY84" s="310">
        <v>185</v>
      </c>
      <c r="AZ84" s="310">
        <v>22</v>
      </c>
      <c r="BA84" s="310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4420</v>
      </c>
      <c r="BH84" s="310" t="s">
        <v>6205</v>
      </c>
      <c r="BI84" s="310" t="s">
        <v>6204</v>
      </c>
      <c r="BJ84" s="310">
        <v>6</v>
      </c>
      <c r="BK84" s="310">
        <v>8</v>
      </c>
      <c r="BL84" s="196" t="s">
        <v>5791</v>
      </c>
      <c r="BM84" s="197" t="s">
        <v>5791</v>
      </c>
      <c r="BN84" s="197" t="s">
        <v>5791</v>
      </c>
      <c r="BO84" s="197" t="s">
        <v>5791</v>
      </c>
      <c r="BP84" s="197" t="s">
        <v>5791</v>
      </c>
      <c r="BQ84" s="197" t="s">
        <v>5791</v>
      </c>
      <c r="BR84" s="197" t="s">
        <v>5791</v>
      </c>
      <c r="BS84" s="197" t="s">
        <v>5791</v>
      </c>
      <c r="BT84" s="196" t="s">
        <v>5791</v>
      </c>
      <c r="BU84" s="197" t="s">
        <v>5791</v>
      </c>
      <c r="BV84" s="197" t="s">
        <v>5791</v>
      </c>
      <c r="BW84" s="197" t="s">
        <v>5791</v>
      </c>
      <c r="BX84" s="197" t="s">
        <v>5791</v>
      </c>
      <c r="BY84" s="197" t="s">
        <v>5791</v>
      </c>
      <c r="BZ84" s="197" t="s">
        <v>5791</v>
      </c>
      <c r="CA84" s="196" t="s">
        <v>5791</v>
      </c>
      <c r="CB84" s="197" t="s">
        <v>5791</v>
      </c>
      <c r="CC84" s="197" t="s">
        <v>5791</v>
      </c>
      <c r="CD84" s="197" t="s">
        <v>5791</v>
      </c>
      <c r="CE84" s="197" t="s">
        <v>5791</v>
      </c>
      <c r="CF84" s="212" t="s">
        <v>5791</v>
      </c>
      <c r="CG84" s="134" t="s">
        <v>5664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5664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5664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5791</v>
      </c>
      <c r="CZ84" s="202" t="s">
        <v>5791</v>
      </c>
      <c r="DA84" s="202" t="s">
        <v>5791</v>
      </c>
      <c r="DB84" s="203" t="s">
        <v>5791</v>
      </c>
      <c r="DC84" s="201" t="s">
        <v>5791</v>
      </c>
      <c r="DD84" s="202" t="s">
        <v>5791</v>
      </c>
      <c r="DE84" s="203" t="s">
        <v>5791</v>
      </c>
      <c r="DF84" s="274" t="s">
        <v>5791</v>
      </c>
      <c r="DG84" s="310" t="s">
        <v>4513</v>
      </c>
      <c r="DH84" s="303">
        <v>660</v>
      </c>
      <c r="DI84" s="32">
        <v>730</v>
      </c>
      <c r="DJ84" s="303">
        <v>830</v>
      </c>
      <c r="DK84" s="32">
        <v>940</v>
      </c>
      <c r="DL84" s="60">
        <v>200000</v>
      </c>
      <c r="DM84" s="29" t="s">
        <v>5831</v>
      </c>
      <c r="DN84" s="303" t="s">
        <v>6053</v>
      </c>
      <c r="DO84" s="306" t="s">
        <v>6085</v>
      </c>
    </row>
    <row r="85" spans="1:119">
      <c r="A85" s="18">
        <v>80</v>
      </c>
      <c r="B85" s="349"/>
      <c r="C85" s="349"/>
      <c r="D85" s="374"/>
      <c r="E85" s="374"/>
      <c r="F85" s="349"/>
      <c r="G85" s="349"/>
      <c r="H85" s="349"/>
      <c r="I85" s="349"/>
      <c r="J85" s="286" t="s">
        <v>4400</v>
      </c>
      <c r="K85" s="301" t="s">
        <v>4383</v>
      </c>
      <c r="L85" s="310" t="s">
        <v>5791</v>
      </c>
      <c r="M85" s="301" t="s">
        <v>4507</v>
      </c>
      <c r="N85" s="310" t="s">
        <v>4700</v>
      </c>
      <c r="O85" s="18" t="s">
        <v>4506</v>
      </c>
      <c r="P85" s="310" t="s">
        <v>4420</v>
      </c>
      <c r="Q85" s="310" t="s">
        <v>4420</v>
      </c>
      <c r="R85" s="310" t="s">
        <v>6164</v>
      </c>
      <c r="S85" s="310">
        <v>10</v>
      </c>
      <c r="T85" s="59" t="s">
        <v>4420</v>
      </c>
      <c r="U85" s="59" t="s">
        <v>5791</v>
      </c>
      <c r="V85" s="59" t="s">
        <v>4420</v>
      </c>
      <c r="W85" s="59" t="s">
        <v>5791</v>
      </c>
      <c r="X85" s="310" t="s">
        <v>4420</v>
      </c>
      <c r="Y85" s="310" t="s">
        <v>5791</v>
      </c>
      <c r="Z85" s="310" t="s">
        <v>4558</v>
      </c>
      <c r="AA85" s="18">
        <v>8</v>
      </c>
      <c r="AB85" s="224">
        <v>0</v>
      </c>
      <c r="AC85" s="140">
        <v>0</v>
      </c>
      <c r="AD85" s="301" t="s">
        <v>4344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0" t="s">
        <v>4227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1" t="s">
        <v>5806</v>
      </c>
      <c r="AX85" s="310" t="s">
        <v>6129</v>
      </c>
      <c r="AY85" s="310">
        <v>185</v>
      </c>
      <c r="AZ85" s="310">
        <v>22</v>
      </c>
      <c r="BA85" s="310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4420</v>
      </c>
      <c r="BH85" s="310" t="s">
        <v>6205</v>
      </c>
      <c r="BI85" s="310" t="s">
        <v>6204</v>
      </c>
      <c r="BJ85" s="310">
        <v>6</v>
      </c>
      <c r="BK85" s="310">
        <v>8</v>
      </c>
      <c r="BL85" s="196" t="s">
        <v>5791</v>
      </c>
      <c r="BM85" s="197" t="s">
        <v>5791</v>
      </c>
      <c r="BN85" s="197" t="s">
        <v>5791</v>
      </c>
      <c r="BO85" s="197" t="s">
        <v>5791</v>
      </c>
      <c r="BP85" s="197" t="s">
        <v>5791</v>
      </c>
      <c r="BQ85" s="197" t="s">
        <v>5791</v>
      </c>
      <c r="BR85" s="197" t="s">
        <v>5791</v>
      </c>
      <c r="BS85" s="197" t="s">
        <v>5791</v>
      </c>
      <c r="BT85" s="196" t="s">
        <v>5791</v>
      </c>
      <c r="BU85" s="197" t="s">
        <v>5791</v>
      </c>
      <c r="BV85" s="197" t="s">
        <v>5791</v>
      </c>
      <c r="BW85" s="197" t="s">
        <v>5791</v>
      </c>
      <c r="BX85" s="197" t="s">
        <v>5791</v>
      </c>
      <c r="BY85" s="197" t="s">
        <v>5791</v>
      </c>
      <c r="BZ85" s="197" t="s">
        <v>5791</v>
      </c>
      <c r="CA85" s="196" t="s">
        <v>5791</v>
      </c>
      <c r="CB85" s="197" t="s">
        <v>5791</v>
      </c>
      <c r="CC85" s="197" t="s">
        <v>5791</v>
      </c>
      <c r="CD85" s="197" t="s">
        <v>5791</v>
      </c>
      <c r="CE85" s="197" t="s">
        <v>5791</v>
      </c>
      <c r="CF85" s="212" t="s">
        <v>5791</v>
      </c>
      <c r="CG85" s="134" t="s">
        <v>5664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5664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5664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5791</v>
      </c>
      <c r="CZ85" s="202" t="s">
        <v>5791</v>
      </c>
      <c r="DA85" s="202" t="s">
        <v>5791</v>
      </c>
      <c r="DB85" s="203" t="s">
        <v>5791</v>
      </c>
      <c r="DC85" s="201" t="s">
        <v>5791</v>
      </c>
      <c r="DD85" s="202" t="s">
        <v>5791</v>
      </c>
      <c r="DE85" s="203" t="s">
        <v>5791</v>
      </c>
      <c r="DF85" s="274" t="s">
        <v>5791</v>
      </c>
      <c r="DG85" s="310" t="s">
        <v>4513</v>
      </c>
      <c r="DH85" s="303">
        <v>660</v>
      </c>
      <c r="DI85" s="32">
        <v>730</v>
      </c>
      <c r="DJ85" s="303">
        <v>830</v>
      </c>
      <c r="DK85" s="32">
        <v>940</v>
      </c>
      <c r="DL85" s="60">
        <v>200000</v>
      </c>
      <c r="DM85" s="29" t="s">
        <v>5838</v>
      </c>
      <c r="DN85" s="303" t="s">
        <v>6053</v>
      </c>
      <c r="DO85" s="306" t="s">
        <v>6088</v>
      </c>
    </row>
    <row r="86" spans="1:119" ht="16.2" thickBot="1">
      <c r="A86" s="14">
        <v>81</v>
      </c>
      <c r="B86" s="350"/>
      <c r="C86" s="350"/>
      <c r="D86" s="375"/>
      <c r="E86" s="375"/>
      <c r="F86" s="350"/>
      <c r="G86" s="350"/>
      <c r="H86" s="350"/>
      <c r="I86" s="350"/>
      <c r="J86" s="285" t="s">
        <v>4401</v>
      </c>
      <c r="K86" s="308" t="s">
        <v>4383</v>
      </c>
      <c r="L86" s="311" t="s">
        <v>5791</v>
      </c>
      <c r="M86" s="308" t="s">
        <v>4507</v>
      </c>
      <c r="N86" s="311" t="s">
        <v>4700</v>
      </c>
      <c r="O86" s="14" t="s">
        <v>4506</v>
      </c>
      <c r="P86" s="311" t="s">
        <v>4420</v>
      </c>
      <c r="Q86" s="311" t="s">
        <v>4420</v>
      </c>
      <c r="R86" s="311" t="s">
        <v>6164</v>
      </c>
      <c r="S86" s="311">
        <v>10</v>
      </c>
      <c r="T86" s="86" t="s">
        <v>4420</v>
      </c>
      <c r="U86" s="86" t="s">
        <v>5791</v>
      </c>
      <c r="V86" s="86" t="s">
        <v>4420</v>
      </c>
      <c r="W86" s="86" t="s">
        <v>5791</v>
      </c>
      <c r="X86" s="311" t="s">
        <v>4420</v>
      </c>
      <c r="Y86" s="311" t="s">
        <v>5791</v>
      </c>
      <c r="Z86" s="311" t="s">
        <v>4558</v>
      </c>
      <c r="AA86" s="14">
        <v>8</v>
      </c>
      <c r="AB86" s="226">
        <v>0</v>
      </c>
      <c r="AC86" s="153">
        <v>0</v>
      </c>
      <c r="AD86" s="308" t="s">
        <v>4344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1" t="s">
        <v>4227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8" t="s">
        <v>5806</v>
      </c>
      <c r="AX86" s="311" t="s">
        <v>6129</v>
      </c>
      <c r="AY86" s="311">
        <v>185</v>
      </c>
      <c r="AZ86" s="311">
        <v>22</v>
      </c>
      <c r="BA86" s="311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4420</v>
      </c>
      <c r="BH86" s="311" t="s">
        <v>6205</v>
      </c>
      <c r="BI86" s="311" t="s">
        <v>6204</v>
      </c>
      <c r="BJ86" s="311">
        <v>6</v>
      </c>
      <c r="BK86" s="311">
        <v>8</v>
      </c>
      <c r="BL86" s="191" t="s">
        <v>5791</v>
      </c>
      <c r="BM86" s="192" t="s">
        <v>5791</v>
      </c>
      <c r="BN86" s="192" t="s">
        <v>5791</v>
      </c>
      <c r="BO86" s="192" t="s">
        <v>5791</v>
      </c>
      <c r="BP86" s="192" t="s">
        <v>5791</v>
      </c>
      <c r="BQ86" s="192" t="s">
        <v>5791</v>
      </c>
      <c r="BR86" s="192" t="s">
        <v>5791</v>
      </c>
      <c r="BS86" s="192" t="s">
        <v>5791</v>
      </c>
      <c r="BT86" s="191" t="s">
        <v>5791</v>
      </c>
      <c r="BU86" s="192" t="s">
        <v>5791</v>
      </c>
      <c r="BV86" s="192" t="s">
        <v>5791</v>
      </c>
      <c r="BW86" s="192" t="s">
        <v>5791</v>
      </c>
      <c r="BX86" s="192" t="s">
        <v>5791</v>
      </c>
      <c r="BY86" s="192" t="s">
        <v>5791</v>
      </c>
      <c r="BZ86" s="192" t="s">
        <v>5791</v>
      </c>
      <c r="CA86" s="191" t="s">
        <v>5791</v>
      </c>
      <c r="CB86" s="192" t="s">
        <v>5791</v>
      </c>
      <c r="CC86" s="192" t="s">
        <v>5791</v>
      </c>
      <c r="CD86" s="192" t="s">
        <v>5791</v>
      </c>
      <c r="CE86" s="192" t="s">
        <v>5791</v>
      </c>
      <c r="CF86" s="214" t="s">
        <v>5791</v>
      </c>
      <c r="CG86" s="144" t="s">
        <v>5664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5664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5664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5791</v>
      </c>
      <c r="CZ86" s="205" t="s">
        <v>5791</v>
      </c>
      <c r="DA86" s="205" t="s">
        <v>5791</v>
      </c>
      <c r="DB86" s="206" t="s">
        <v>5791</v>
      </c>
      <c r="DC86" s="204" t="s">
        <v>5791</v>
      </c>
      <c r="DD86" s="205" t="s">
        <v>5791</v>
      </c>
      <c r="DE86" s="206" t="s">
        <v>5791</v>
      </c>
      <c r="DF86" s="275" t="s">
        <v>5791</v>
      </c>
      <c r="DG86" s="311" t="s">
        <v>4513</v>
      </c>
      <c r="DH86" s="304">
        <v>660</v>
      </c>
      <c r="DI86" s="34">
        <v>730</v>
      </c>
      <c r="DJ86" s="304">
        <v>830</v>
      </c>
      <c r="DK86" s="34">
        <v>940</v>
      </c>
      <c r="DL86" s="76">
        <v>200000</v>
      </c>
      <c r="DM86" s="27" t="s">
        <v>5831</v>
      </c>
      <c r="DN86" s="304" t="s">
        <v>6053</v>
      </c>
      <c r="DO86" s="307" t="s">
        <v>6087</v>
      </c>
    </row>
    <row r="87" spans="1:119" ht="15.6" customHeight="1">
      <c r="A87" s="18">
        <v>82</v>
      </c>
      <c r="B87" s="348">
        <v>9</v>
      </c>
      <c r="C87" s="348">
        <v>1983</v>
      </c>
      <c r="D87" s="359" t="s">
        <v>4516</v>
      </c>
      <c r="E87" s="359" t="s">
        <v>4869</v>
      </c>
      <c r="F87" s="348">
        <v>14</v>
      </c>
      <c r="G87" s="348" t="s">
        <v>5904</v>
      </c>
      <c r="H87" s="348" t="s">
        <v>5903</v>
      </c>
      <c r="I87" s="348" t="s">
        <v>6221</v>
      </c>
      <c r="J87" s="286" t="s">
        <v>4517</v>
      </c>
      <c r="K87" s="301" t="s">
        <v>4383</v>
      </c>
      <c r="L87" s="310" t="s">
        <v>5791</v>
      </c>
      <c r="M87" s="301" t="s">
        <v>4551</v>
      </c>
      <c r="N87" s="310" t="s">
        <v>4706</v>
      </c>
      <c r="O87" s="18" t="s">
        <v>4506</v>
      </c>
      <c r="P87" s="310" t="s">
        <v>4420</v>
      </c>
      <c r="Q87" s="310" t="s">
        <v>4420</v>
      </c>
      <c r="R87" s="310" t="s">
        <v>4420</v>
      </c>
      <c r="S87" s="310" t="s">
        <v>5791</v>
      </c>
      <c r="T87" s="59" t="s">
        <v>4420</v>
      </c>
      <c r="U87" s="59" t="s">
        <v>5791</v>
      </c>
      <c r="V87" s="59" t="s">
        <v>4420</v>
      </c>
      <c r="W87" s="59" t="s">
        <v>5791</v>
      </c>
      <c r="X87" s="310" t="s">
        <v>4420</v>
      </c>
      <c r="Y87" s="310" t="s">
        <v>5791</v>
      </c>
      <c r="Z87" s="310" t="s">
        <v>4558</v>
      </c>
      <c r="AA87" s="18">
        <v>6</v>
      </c>
      <c r="AB87" s="224">
        <v>0</v>
      </c>
      <c r="AC87" s="140" t="s">
        <v>5791</v>
      </c>
      <c r="AD87" s="194" t="s">
        <v>5791</v>
      </c>
      <c r="AE87" s="195" t="s">
        <v>5791</v>
      </c>
      <c r="AF87" s="195" t="s">
        <v>5791</v>
      </c>
      <c r="AG87" s="195" t="s">
        <v>5791</v>
      </c>
      <c r="AH87" s="195" t="s">
        <v>5791</v>
      </c>
      <c r="AI87" s="195" t="s">
        <v>5791</v>
      </c>
      <c r="AJ87" s="301" t="s">
        <v>4809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10">
        <v>0</v>
      </c>
      <c r="AV87" s="310">
        <v>0</v>
      </c>
      <c r="AW87" s="301" t="s">
        <v>5806</v>
      </c>
      <c r="AX87" s="309" t="s">
        <v>6129</v>
      </c>
      <c r="AY87" s="309" t="s">
        <v>6129</v>
      </c>
      <c r="AZ87" s="21">
        <f>3/4*25.4</f>
        <v>19.049999999999997</v>
      </c>
      <c r="BA87" s="310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10" t="s">
        <v>4470</v>
      </c>
      <c r="BH87" s="310" t="s">
        <v>6204</v>
      </c>
      <c r="BI87" s="310" t="s">
        <v>6204</v>
      </c>
      <c r="BJ87" s="310">
        <v>2</v>
      </c>
      <c r="BK87" s="310">
        <v>4</v>
      </c>
      <c r="BL87" s="196" t="s">
        <v>5791</v>
      </c>
      <c r="BM87" s="197" t="s">
        <v>5791</v>
      </c>
      <c r="BN87" s="197" t="s">
        <v>5791</v>
      </c>
      <c r="BO87" s="197" t="s">
        <v>5791</v>
      </c>
      <c r="BP87" s="197" t="s">
        <v>5791</v>
      </c>
      <c r="BQ87" s="197" t="s">
        <v>5791</v>
      </c>
      <c r="BR87" s="197" t="s">
        <v>5791</v>
      </c>
      <c r="BS87" s="197" t="s">
        <v>5791</v>
      </c>
      <c r="BT87" s="196" t="s">
        <v>5791</v>
      </c>
      <c r="BU87" s="197" t="s">
        <v>5791</v>
      </c>
      <c r="BV87" s="197" t="s">
        <v>5791</v>
      </c>
      <c r="BW87" s="197" t="s">
        <v>5791</v>
      </c>
      <c r="BX87" s="197" t="s">
        <v>5791</v>
      </c>
      <c r="BY87" s="197" t="s">
        <v>5791</v>
      </c>
      <c r="BZ87" s="212" t="s">
        <v>5791</v>
      </c>
      <c r="CA87" s="197" t="s">
        <v>5791</v>
      </c>
      <c r="CB87" s="197" t="s">
        <v>5791</v>
      </c>
      <c r="CC87" s="197" t="s">
        <v>5791</v>
      </c>
      <c r="CD87" s="197" t="s">
        <v>5791</v>
      </c>
      <c r="CE87" s="197" t="s">
        <v>5791</v>
      </c>
      <c r="CF87" s="212" t="s">
        <v>5791</v>
      </c>
      <c r="CG87" s="197" t="s">
        <v>5791</v>
      </c>
      <c r="CH87" s="197" t="s">
        <v>5791</v>
      </c>
      <c r="CI87" s="197" t="s">
        <v>5791</v>
      </c>
      <c r="CJ87" s="197" t="s">
        <v>5791</v>
      </c>
      <c r="CK87" s="197" t="s">
        <v>5791</v>
      </c>
      <c r="CL87" s="203" t="s">
        <v>5791</v>
      </c>
      <c r="CM87" s="301" t="s">
        <v>4535</v>
      </c>
      <c r="CN87" s="310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10" t="s">
        <v>4535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5791</v>
      </c>
      <c r="CZ87" s="202" t="s">
        <v>5791</v>
      </c>
      <c r="DA87" s="202" t="s">
        <v>5791</v>
      </c>
      <c r="DB87" s="203" t="s">
        <v>5791</v>
      </c>
      <c r="DC87" s="201" t="s">
        <v>5791</v>
      </c>
      <c r="DD87" s="202" t="s">
        <v>5791</v>
      </c>
      <c r="DE87" s="203" t="s">
        <v>5791</v>
      </c>
      <c r="DF87" s="274" t="s">
        <v>5791</v>
      </c>
      <c r="DG87" s="310" t="s">
        <v>4422</v>
      </c>
      <c r="DH87" s="310">
        <v>640</v>
      </c>
      <c r="DI87" s="32">
        <v>730</v>
      </c>
      <c r="DJ87" s="310">
        <v>800</v>
      </c>
      <c r="DK87" s="32">
        <v>940</v>
      </c>
      <c r="DL87" s="60">
        <v>200000</v>
      </c>
      <c r="DM87" s="150" t="s">
        <v>5835</v>
      </c>
      <c r="DN87" s="310" t="s">
        <v>4435</v>
      </c>
      <c r="DO87" s="306" t="s">
        <v>4565</v>
      </c>
    </row>
    <row r="88" spans="1:119">
      <c r="A88" s="18">
        <v>83</v>
      </c>
      <c r="B88" s="349"/>
      <c r="C88" s="349"/>
      <c r="D88" s="360"/>
      <c r="E88" s="360"/>
      <c r="F88" s="349"/>
      <c r="G88" s="349"/>
      <c r="H88" s="349"/>
      <c r="I88" s="349"/>
      <c r="J88" s="286" t="s">
        <v>4518</v>
      </c>
      <c r="K88" s="301" t="s">
        <v>4383</v>
      </c>
      <c r="L88" s="310" t="s">
        <v>5791</v>
      </c>
      <c r="M88" s="301" t="s">
        <v>4551</v>
      </c>
      <c r="N88" s="310" t="s">
        <v>4706</v>
      </c>
      <c r="O88" s="18" t="s">
        <v>4506</v>
      </c>
      <c r="P88" s="310" t="s">
        <v>4420</v>
      </c>
      <c r="Q88" s="310" t="s">
        <v>4420</v>
      </c>
      <c r="R88" s="310" t="s">
        <v>4420</v>
      </c>
      <c r="S88" s="310" t="s">
        <v>5791</v>
      </c>
      <c r="T88" s="59" t="s">
        <v>4420</v>
      </c>
      <c r="U88" s="59" t="s">
        <v>5791</v>
      </c>
      <c r="V88" s="59" t="s">
        <v>4420</v>
      </c>
      <c r="W88" s="59" t="s">
        <v>5791</v>
      </c>
      <c r="X88" s="310" t="s">
        <v>4420</v>
      </c>
      <c r="Y88" s="310" t="s">
        <v>5791</v>
      </c>
      <c r="Z88" s="310" t="s">
        <v>4558</v>
      </c>
      <c r="AA88" s="18">
        <v>6</v>
      </c>
      <c r="AB88" s="224">
        <v>0</v>
      </c>
      <c r="AC88" s="140" t="s">
        <v>5791</v>
      </c>
      <c r="AD88" s="196" t="s">
        <v>5791</v>
      </c>
      <c r="AE88" s="197" t="s">
        <v>5791</v>
      </c>
      <c r="AF88" s="197" t="s">
        <v>5791</v>
      </c>
      <c r="AG88" s="197" t="s">
        <v>5791</v>
      </c>
      <c r="AH88" s="197" t="s">
        <v>5791</v>
      </c>
      <c r="AI88" s="197" t="s">
        <v>5791</v>
      </c>
      <c r="AJ88" s="301" t="s">
        <v>4809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10">
        <v>0</v>
      </c>
      <c r="AV88" s="310">
        <v>0</v>
      </c>
      <c r="AW88" s="301" t="s">
        <v>5806</v>
      </c>
      <c r="AX88" s="310" t="s">
        <v>6129</v>
      </c>
      <c r="AY88" s="310" t="s">
        <v>6129</v>
      </c>
      <c r="AZ88" s="21">
        <f>3/4*25.4</f>
        <v>19.049999999999997</v>
      </c>
      <c r="BA88" s="310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10" t="s">
        <v>4470</v>
      </c>
      <c r="BH88" s="310" t="s">
        <v>6204</v>
      </c>
      <c r="BI88" s="310" t="s">
        <v>6204</v>
      </c>
      <c r="BJ88" s="310">
        <v>2</v>
      </c>
      <c r="BK88" s="310">
        <v>4</v>
      </c>
      <c r="BL88" s="196" t="s">
        <v>5791</v>
      </c>
      <c r="BM88" s="197" t="s">
        <v>5791</v>
      </c>
      <c r="BN88" s="197" t="s">
        <v>5791</v>
      </c>
      <c r="BO88" s="197" t="s">
        <v>5791</v>
      </c>
      <c r="BP88" s="197" t="s">
        <v>5791</v>
      </c>
      <c r="BQ88" s="197" t="s">
        <v>5791</v>
      </c>
      <c r="BR88" s="197" t="s">
        <v>5791</v>
      </c>
      <c r="BS88" s="197" t="s">
        <v>5791</v>
      </c>
      <c r="BT88" s="196" t="s">
        <v>5791</v>
      </c>
      <c r="BU88" s="197" t="s">
        <v>5791</v>
      </c>
      <c r="BV88" s="197" t="s">
        <v>5791</v>
      </c>
      <c r="BW88" s="197" t="s">
        <v>5791</v>
      </c>
      <c r="BX88" s="197" t="s">
        <v>5791</v>
      </c>
      <c r="BY88" s="197" t="s">
        <v>5791</v>
      </c>
      <c r="BZ88" s="212" t="s">
        <v>5791</v>
      </c>
      <c r="CA88" s="197" t="s">
        <v>5791</v>
      </c>
      <c r="CB88" s="197" t="s">
        <v>5791</v>
      </c>
      <c r="CC88" s="197" t="s">
        <v>5791</v>
      </c>
      <c r="CD88" s="197" t="s">
        <v>5791</v>
      </c>
      <c r="CE88" s="197" t="s">
        <v>5791</v>
      </c>
      <c r="CF88" s="212" t="s">
        <v>5791</v>
      </c>
      <c r="CG88" s="197" t="s">
        <v>5791</v>
      </c>
      <c r="CH88" s="197" t="s">
        <v>5791</v>
      </c>
      <c r="CI88" s="197" t="s">
        <v>5791</v>
      </c>
      <c r="CJ88" s="197" t="s">
        <v>5791</v>
      </c>
      <c r="CK88" s="197" t="s">
        <v>5791</v>
      </c>
      <c r="CL88" s="203" t="s">
        <v>5791</v>
      </c>
      <c r="CM88" s="301" t="s">
        <v>4535</v>
      </c>
      <c r="CN88" s="310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10" t="s">
        <v>4535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5791</v>
      </c>
      <c r="CZ88" s="202" t="s">
        <v>5791</v>
      </c>
      <c r="DA88" s="202" t="s">
        <v>5791</v>
      </c>
      <c r="DB88" s="203" t="s">
        <v>5791</v>
      </c>
      <c r="DC88" s="201" t="s">
        <v>5791</v>
      </c>
      <c r="DD88" s="202" t="s">
        <v>5791</v>
      </c>
      <c r="DE88" s="203" t="s">
        <v>5791</v>
      </c>
      <c r="DF88" s="274" t="s">
        <v>5791</v>
      </c>
      <c r="DG88" s="310" t="s">
        <v>4422</v>
      </c>
      <c r="DH88" s="310">
        <v>640</v>
      </c>
      <c r="DI88" s="32">
        <v>730</v>
      </c>
      <c r="DJ88" s="310">
        <v>800</v>
      </c>
      <c r="DK88" s="32">
        <v>940</v>
      </c>
      <c r="DL88" s="60">
        <v>200000</v>
      </c>
      <c r="DM88" s="150" t="s">
        <v>5835</v>
      </c>
      <c r="DN88" s="310" t="s">
        <v>4435</v>
      </c>
      <c r="DO88" s="306" t="s">
        <v>4565</v>
      </c>
    </row>
    <row r="89" spans="1:119">
      <c r="A89" s="18">
        <v>84</v>
      </c>
      <c r="B89" s="349"/>
      <c r="C89" s="349"/>
      <c r="D89" s="360"/>
      <c r="E89" s="360"/>
      <c r="F89" s="349"/>
      <c r="G89" s="349"/>
      <c r="H89" s="349"/>
      <c r="I89" s="349"/>
      <c r="J89" s="286" t="s">
        <v>4519</v>
      </c>
      <c r="K89" s="301" t="s">
        <v>4383</v>
      </c>
      <c r="L89" s="310" t="s">
        <v>5791</v>
      </c>
      <c r="M89" s="301" t="s">
        <v>4551</v>
      </c>
      <c r="N89" s="310" t="s">
        <v>4706</v>
      </c>
      <c r="O89" s="18" t="s">
        <v>4506</v>
      </c>
      <c r="P89" s="310" t="s">
        <v>4420</v>
      </c>
      <c r="Q89" s="310" t="s">
        <v>4420</v>
      </c>
      <c r="R89" s="310" t="s">
        <v>4420</v>
      </c>
      <c r="S89" s="310" t="s">
        <v>5791</v>
      </c>
      <c r="T89" s="59" t="s">
        <v>4420</v>
      </c>
      <c r="U89" s="59" t="s">
        <v>5791</v>
      </c>
      <c r="V89" s="59" t="s">
        <v>4420</v>
      </c>
      <c r="W89" s="59" t="s">
        <v>5791</v>
      </c>
      <c r="X89" s="310" t="s">
        <v>4420</v>
      </c>
      <c r="Y89" s="310" t="s">
        <v>5791</v>
      </c>
      <c r="Z89" s="310" t="s">
        <v>4558</v>
      </c>
      <c r="AA89" s="18">
        <v>6</v>
      </c>
      <c r="AB89" s="224">
        <v>0</v>
      </c>
      <c r="AC89" s="140" t="s">
        <v>5791</v>
      </c>
      <c r="AD89" s="196" t="s">
        <v>5791</v>
      </c>
      <c r="AE89" s="197" t="s">
        <v>5791</v>
      </c>
      <c r="AF89" s="197" t="s">
        <v>5791</v>
      </c>
      <c r="AG89" s="197" t="s">
        <v>5791</v>
      </c>
      <c r="AH89" s="197" t="s">
        <v>5791</v>
      </c>
      <c r="AI89" s="197" t="s">
        <v>5791</v>
      </c>
      <c r="AJ89" s="301" t="s">
        <v>4809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10">
        <v>0</v>
      </c>
      <c r="AV89" s="310">
        <v>0</v>
      </c>
      <c r="AW89" s="301" t="s">
        <v>5806</v>
      </c>
      <c r="AX89" s="310" t="s">
        <v>6129</v>
      </c>
      <c r="AY89" s="310" t="s">
        <v>6129</v>
      </c>
      <c r="AZ89" s="21">
        <f>5/8*25.4</f>
        <v>15.875</v>
      </c>
      <c r="BA89" s="310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10" t="s">
        <v>4470</v>
      </c>
      <c r="BH89" s="310" t="s">
        <v>6204</v>
      </c>
      <c r="BI89" s="310" t="s">
        <v>6204</v>
      </c>
      <c r="BJ89" s="310">
        <v>2</v>
      </c>
      <c r="BK89" s="310">
        <v>4</v>
      </c>
      <c r="BL89" s="196" t="s">
        <v>5791</v>
      </c>
      <c r="BM89" s="197" t="s">
        <v>5791</v>
      </c>
      <c r="BN89" s="197" t="s">
        <v>5791</v>
      </c>
      <c r="BO89" s="197" t="s">
        <v>5791</v>
      </c>
      <c r="BP89" s="197" t="s">
        <v>5791</v>
      </c>
      <c r="BQ89" s="197" t="s">
        <v>5791</v>
      </c>
      <c r="BR89" s="197" t="s">
        <v>5791</v>
      </c>
      <c r="BS89" s="197" t="s">
        <v>5791</v>
      </c>
      <c r="BT89" s="196" t="s">
        <v>5791</v>
      </c>
      <c r="BU89" s="197" t="s">
        <v>5791</v>
      </c>
      <c r="BV89" s="197" t="s">
        <v>5791</v>
      </c>
      <c r="BW89" s="197" t="s">
        <v>5791</v>
      </c>
      <c r="BX89" s="197" t="s">
        <v>5791</v>
      </c>
      <c r="BY89" s="197" t="s">
        <v>5791</v>
      </c>
      <c r="BZ89" s="212" t="s">
        <v>5791</v>
      </c>
      <c r="CA89" s="197" t="s">
        <v>5791</v>
      </c>
      <c r="CB89" s="197" t="s">
        <v>5791</v>
      </c>
      <c r="CC89" s="197" t="s">
        <v>5791</v>
      </c>
      <c r="CD89" s="197" t="s">
        <v>5791</v>
      </c>
      <c r="CE89" s="197" t="s">
        <v>5791</v>
      </c>
      <c r="CF89" s="212" t="s">
        <v>5791</v>
      </c>
      <c r="CG89" s="197" t="s">
        <v>5791</v>
      </c>
      <c r="CH89" s="197" t="s">
        <v>5791</v>
      </c>
      <c r="CI89" s="197" t="s">
        <v>5791</v>
      </c>
      <c r="CJ89" s="197" t="s">
        <v>5791</v>
      </c>
      <c r="CK89" s="197" t="s">
        <v>5791</v>
      </c>
      <c r="CL89" s="203" t="s">
        <v>5791</v>
      </c>
      <c r="CM89" s="301" t="s">
        <v>4535</v>
      </c>
      <c r="CN89" s="310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10" t="s">
        <v>4535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5791</v>
      </c>
      <c r="CZ89" s="202" t="s">
        <v>5791</v>
      </c>
      <c r="DA89" s="202" t="s">
        <v>5791</v>
      </c>
      <c r="DB89" s="203" t="s">
        <v>5791</v>
      </c>
      <c r="DC89" s="201" t="s">
        <v>5791</v>
      </c>
      <c r="DD89" s="202" t="s">
        <v>5791</v>
      </c>
      <c r="DE89" s="203" t="s">
        <v>5791</v>
      </c>
      <c r="DF89" s="274" t="s">
        <v>5791</v>
      </c>
      <c r="DG89" s="310" t="s">
        <v>4422</v>
      </c>
      <c r="DH89" s="310">
        <v>640</v>
      </c>
      <c r="DI89" s="32">
        <v>730</v>
      </c>
      <c r="DJ89" s="310">
        <v>800</v>
      </c>
      <c r="DK89" s="32">
        <v>940</v>
      </c>
      <c r="DL89" s="60">
        <v>200000</v>
      </c>
      <c r="DM89" s="150" t="s">
        <v>5835</v>
      </c>
      <c r="DN89" s="310" t="s">
        <v>4435</v>
      </c>
      <c r="DO89" s="306" t="s">
        <v>4565</v>
      </c>
    </row>
    <row r="90" spans="1:119">
      <c r="A90" s="18">
        <v>85</v>
      </c>
      <c r="B90" s="349"/>
      <c r="C90" s="349"/>
      <c r="D90" s="360"/>
      <c r="E90" s="360"/>
      <c r="F90" s="349"/>
      <c r="G90" s="349"/>
      <c r="H90" s="349"/>
      <c r="I90" s="349"/>
      <c r="J90" s="286" t="s">
        <v>4520</v>
      </c>
      <c r="K90" s="301" t="s">
        <v>4383</v>
      </c>
      <c r="L90" s="310" t="s">
        <v>5791</v>
      </c>
      <c r="M90" s="301" t="s">
        <v>4551</v>
      </c>
      <c r="N90" s="310" t="s">
        <v>4706</v>
      </c>
      <c r="O90" s="18" t="s">
        <v>4506</v>
      </c>
      <c r="P90" s="310" t="s">
        <v>4420</v>
      </c>
      <c r="Q90" s="310" t="s">
        <v>4420</v>
      </c>
      <c r="R90" s="310" t="s">
        <v>4420</v>
      </c>
      <c r="S90" s="310" t="s">
        <v>5791</v>
      </c>
      <c r="T90" s="59" t="s">
        <v>4420</v>
      </c>
      <c r="U90" s="59" t="s">
        <v>5791</v>
      </c>
      <c r="V90" s="59" t="s">
        <v>4420</v>
      </c>
      <c r="W90" s="59" t="s">
        <v>5791</v>
      </c>
      <c r="X90" s="310" t="s">
        <v>4420</v>
      </c>
      <c r="Y90" s="310" t="s">
        <v>5791</v>
      </c>
      <c r="Z90" s="310" t="s">
        <v>4558</v>
      </c>
      <c r="AA90" s="18">
        <v>6</v>
      </c>
      <c r="AB90" s="224">
        <v>0</v>
      </c>
      <c r="AC90" s="140" t="s">
        <v>5791</v>
      </c>
      <c r="AD90" s="196" t="s">
        <v>5791</v>
      </c>
      <c r="AE90" s="197" t="s">
        <v>5791</v>
      </c>
      <c r="AF90" s="197" t="s">
        <v>5791</v>
      </c>
      <c r="AG90" s="197" t="s">
        <v>5791</v>
      </c>
      <c r="AH90" s="197" t="s">
        <v>5791</v>
      </c>
      <c r="AI90" s="197" t="s">
        <v>5791</v>
      </c>
      <c r="AJ90" s="301" t="s">
        <v>4809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10">
        <v>0</v>
      </c>
      <c r="AV90" s="310">
        <v>0</v>
      </c>
      <c r="AW90" s="301" t="s">
        <v>5806</v>
      </c>
      <c r="AX90" s="310" t="s">
        <v>6129</v>
      </c>
      <c r="AY90" s="310" t="s">
        <v>6129</v>
      </c>
      <c r="AZ90" s="21">
        <f>5/8*25.4</f>
        <v>15.875</v>
      </c>
      <c r="BA90" s="310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10" t="s">
        <v>4470</v>
      </c>
      <c r="BH90" s="310" t="s">
        <v>6204</v>
      </c>
      <c r="BI90" s="310" t="s">
        <v>6204</v>
      </c>
      <c r="BJ90" s="310">
        <v>2</v>
      </c>
      <c r="BK90" s="310">
        <v>4</v>
      </c>
      <c r="BL90" s="196" t="s">
        <v>5791</v>
      </c>
      <c r="BM90" s="197" t="s">
        <v>5791</v>
      </c>
      <c r="BN90" s="197" t="s">
        <v>5791</v>
      </c>
      <c r="BO90" s="197" t="s">
        <v>5791</v>
      </c>
      <c r="BP90" s="197" t="s">
        <v>5791</v>
      </c>
      <c r="BQ90" s="197" t="s">
        <v>5791</v>
      </c>
      <c r="BR90" s="197" t="s">
        <v>5791</v>
      </c>
      <c r="BS90" s="197" t="s">
        <v>5791</v>
      </c>
      <c r="BT90" s="196" t="s">
        <v>5791</v>
      </c>
      <c r="BU90" s="197" t="s">
        <v>5791</v>
      </c>
      <c r="BV90" s="197" t="s">
        <v>5791</v>
      </c>
      <c r="BW90" s="197" t="s">
        <v>5791</v>
      </c>
      <c r="BX90" s="197" t="s">
        <v>5791</v>
      </c>
      <c r="BY90" s="197" t="s">
        <v>5791</v>
      </c>
      <c r="BZ90" s="212" t="s">
        <v>5791</v>
      </c>
      <c r="CA90" s="197" t="s">
        <v>5791</v>
      </c>
      <c r="CB90" s="197" t="s">
        <v>5791</v>
      </c>
      <c r="CC90" s="197" t="s">
        <v>5791</v>
      </c>
      <c r="CD90" s="197" t="s">
        <v>5791</v>
      </c>
      <c r="CE90" s="197" t="s">
        <v>5791</v>
      </c>
      <c r="CF90" s="212" t="s">
        <v>5791</v>
      </c>
      <c r="CG90" s="197" t="s">
        <v>5791</v>
      </c>
      <c r="CH90" s="197" t="s">
        <v>5791</v>
      </c>
      <c r="CI90" s="197" t="s">
        <v>5791</v>
      </c>
      <c r="CJ90" s="197" t="s">
        <v>5791</v>
      </c>
      <c r="CK90" s="197" t="s">
        <v>5791</v>
      </c>
      <c r="CL90" s="203" t="s">
        <v>5791</v>
      </c>
      <c r="CM90" s="301" t="s">
        <v>4535</v>
      </c>
      <c r="CN90" s="310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10" t="s">
        <v>4535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5791</v>
      </c>
      <c r="CZ90" s="202" t="s">
        <v>5791</v>
      </c>
      <c r="DA90" s="202" t="s">
        <v>5791</v>
      </c>
      <c r="DB90" s="203" t="s">
        <v>5791</v>
      </c>
      <c r="DC90" s="201" t="s">
        <v>5791</v>
      </c>
      <c r="DD90" s="202" t="s">
        <v>5791</v>
      </c>
      <c r="DE90" s="203" t="s">
        <v>5791</v>
      </c>
      <c r="DF90" s="274" t="s">
        <v>5791</v>
      </c>
      <c r="DG90" s="310" t="s">
        <v>4422</v>
      </c>
      <c r="DH90" s="310">
        <v>640</v>
      </c>
      <c r="DI90" s="32">
        <v>730</v>
      </c>
      <c r="DJ90" s="310">
        <v>800</v>
      </c>
      <c r="DK90" s="32">
        <v>940</v>
      </c>
      <c r="DL90" s="60">
        <v>200000</v>
      </c>
      <c r="DM90" s="150" t="s">
        <v>5835</v>
      </c>
      <c r="DN90" s="310" t="s">
        <v>4435</v>
      </c>
      <c r="DO90" s="306" t="s">
        <v>4565</v>
      </c>
    </row>
    <row r="91" spans="1:119">
      <c r="A91" s="18">
        <v>86</v>
      </c>
      <c r="B91" s="349"/>
      <c r="C91" s="349"/>
      <c r="D91" s="360"/>
      <c r="E91" s="360"/>
      <c r="F91" s="349"/>
      <c r="G91" s="349"/>
      <c r="H91" s="349"/>
      <c r="I91" s="349"/>
      <c r="J91" s="286" t="s">
        <v>4521</v>
      </c>
      <c r="K91" s="301" t="s">
        <v>4383</v>
      </c>
      <c r="L91" s="310" t="s">
        <v>5791</v>
      </c>
      <c r="M91" s="301" t="s">
        <v>4551</v>
      </c>
      <c r="N91" s="310" t="s">
        <v>4706</v>
      </c>
      <c r="O91" s="18" t="s">
        <v>4506</v>
      </c>
      <c r="P91" s="310" t="s">
        <v>4420</v>
      </c>
      <c r="Q91" s="310" t="s">
        <v>4420</v>
      </c>
      <c r="R91" s="310" t="s">
        <v>4420</v>
      </c>
      <c r="S91" s="310" t="s">
        <v>5791</v>
      </c>
      <c r="T91" s="59" t="s">
        <v>4420</v>
      </c>
      <c r="U91" s="59" t="s">
        <v>5791</v>
      </c>
      <c r="V91" s="59" t="s">
        <v>4420</v>
      </c>
      <c r="W91" s="59" t="s">
        <v>5791</v>
      </c>
      <c r="X91" s="310" t="s">
        <v>4420</v>
      </c>
      <c r="Y91" s="310" t="s">
        <v>5791</v>
      </c>
      <c r="Z91" s="310" t="s">
        <v>4558</v>
      </c>
      <c r="AA91" s="18">
        <v>6</v>
      </c>
      <c r="AB91" s="224">
        <v>0</v>
      </c>
      <c r="AC91" s="140" t="s">
        <v>5791</v>
      </c>
      <c r="AD91" s="196" t="s">
        <v>5791</v>
      </c>
      <c r="AE91" s="197" t="s">
        <v>5791</v>
      </c>
      <c r="AF91" s="197" t="s">
        <v>5791</v>
      </c>
      <c r="AG91" s="197" t="s">
        <v>5791</v>
      </c>
      <c r="AH91" s="197" t="s">
        <v>5791</v>
      </c>
      <c r="AI91" s="197" t="s">
        <v>5791</v>
      </c>
      <c r="AJ91" s="301" t="s">
        <v>4812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10">
        <v>0</v>
      </c>
      <c r="AV91" s="310">
        <v>0</v>
      </c>
      <c r="AW91" s="301" t="s">
        <v>5806</v>
      </c>
      <c r="AX91" s="310" t="s">
        <v>6129</v>
      </c>
      <c r="AY91" s="310" t="s">
        <v>6129</v>
      </c>
      <c r="AZ91" s="21">
        <f>5/8*25.4</f>
        <v>15.875</v>
      </c>
      <c r="BA91" s="310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10" t="s">
        <v>4470</v>
      </c>
      <c r="BH91" s="310" t="s">
        <v>6204</v>
      </c>
      <c r="BI91" s="310" t="s">
        <v>6204</v>
      </c>
      <c r="BJ91" s="310">
        <v>2</v>
      </c>
      <c r="BK91" s="310">
        <v>4</v>
      </c>
      <c r="BL91" s="196" t="s">
        <v>5791</v>
      </c>
      <c r="BM91" s="197" t="s">
        <v>5791</v>
      </c>
      <c r="BN91" s="197" t="s">
        <v>5791</v>
      </c>
      <c r="BO91" s="197" t="s">
        <v>5791</v>
      </c>
      <c r="BP91" s="197" t="s">
        <v>5791</v>
      </c>
      <c r="BQ91" s="197" t="s">
        <v>5791</v>
      </c>
      <c r="BR91" s="197" t="s">
        <v>5791</v>
      </c>
      <c r="BS91" s="197" t="s">
        <v>5791</v>
      </c>
      <c r="BT91" s="196" t="s">
        <v>5791</v>
      </c>
      <c r="BU91" s="197" t="s">
        <v>5791</v>
      </c>
      <c r="BV91" s="197" t="s">
        <v>5791</v>
      </c>
      <c r="BW91" s="197" t="s">
        <v>5791</v>
      </c>
      <c r="BX91" s="197" t="s">
        <v>5791</v>
      </c>
      <c r="BY91" s="197" t="s">
        <v>5791</v>
      </c>
      <c r="BZ91" s="212" t="s">
        <v>5791</v>
      </c>
      <c r="CA91" s="197" t="s">
        <v>5791</v>
      </c>
      <c r="CB91" s="197" t="s">
        <v>5791</v>
      </c>
      <c r="CC91" s="197" t="s">
        <v>5791</v>
      </c>
      <c r="CD91" s="197" t="s">
        <v>5791</v>
      </c>
      <c r="CE91" s="197" t="s">
        <v>5791</v>
      </c>
      <c r="CF91" s="212" t="s">
        <v>5791</v>
      </c>
      <c r="CG91" s="197" t="s">
        <v>5791</v>
      </c>
      <c r="CH91" s="197" t="s">
        <v>5791</v>
      </c>
      <c r="CI91" s="197" t="s">
        <v>5791</v>
      </c>
      <c r="CJ91" s="197" t="s">
        <v>5791</v>
      </c>
      <c r="CK91" s="197" t="s">
        <v>5791</v>
      </c>
      <c r="CL91" s="203" t="s">
        <v>5791</v>
      </c>
      <c r="CM91" s="301" t="s">
        <v>4535</v>
      </c>
      <c r="CN91" s="310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10" t="s">
        <v>4535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5791</v>
      </c>
      <c r="CZ91" s="202" t="s">
        <v>5791</v>
      </c>
      <c r="DA91" s="202" t="s">
        <v>5791</v>
      </c>
      <c r="DB91" s="203" t="s">
        <v>5791</v>
      </c>
      <c r="DC91" s="201" t="s">
        <v>5791</v>
      </c>
      <c r="DD91" s="202" t="s">
        <v>5791</v>
      </c>
      <c r="DE91" s="203" t="s">
        <v>5791</v>
      </c>
      <c r="DF91" s="274" t="s">
        <v>5791</v>
      </c>
      <c r="DG91" s="310" t="s">
        <v>4422</v>
      </c>
      <c r="DH91" s="310">
        <v>640</v>
      </c>
      <c r="DI91" s="32">
        <v>730</v>
      </c>
      <c r="DJ91" s="310">
        <v>800</v>
      </c>
      <c r="DK91" s="32">
        <v>940</v>
      </c>
      <c r="DL91" s="60">
        <v>200000</v>
      </c>
      <c r="DM91" s="150" t="s">
        <v>5835</v>
      </c>
      <c r="DN91" s="310" t="s">
        <v>4435</v>
      </c>
      <c r="DO91" s="306" t="s">
        <v>4565</v>
      </c>
    </row>
    <row r="92" spans="1:119">
      <c r="A92" s="18">
        <v>87</v>
      </c>
      <c r="B92" s="349"/>
      <c r="C92" s="349"/>
      <c r="D92" s="360"/>
      <c r="E92" s="360"/>
      <c r="F92" s="349"/>
      <c r="G92" s="349"/>
      <c r="H92" s="349"/>
      <c r="I92" s="349"/>
      <c r="J92" s="286" t="s">
        <v>4522</v>
      </c>
      <c r="K92" s="301" t="s">
        <v>4383</v>
      </c>
      <c r="L92" s="310" t="s">
        <v>5791</v>
      </c>
      <c r="M92" s="301" t="s">
        <v>4551</v>
      </c>
      <c r="N92" s="310" t="s">
        <v>4706</v>
      </c>
      <c r="O92" s="18" t="s">
        <v>4506</v>
      </c>
      <c r="P92" s="310" t="s">
        <v>4420</v>
      </c>
      <c r="Q92" s="310" t="s">
        <v>4420</v>
      </c>
      <c r="R92" s="310" t="s">
        <v>4420</v>
      </c>
      <c r="S92" s="310" t="s">
        <v>5791</v>
      </c>
      <c r="T92" s="59" t="s">
        <v>4420</v>
      </c>
      <c r="U92" s="59" t="s">
        <v>5791</v>
      </c>
      <c r="V92" s="59" t="s">
        <v>4420</v>
      </c>
      <c r="W92" s="59" t="s">
        <v>5791</v>
      </c>
      <c r="X92" s="310" t="s">
        <v>4420</v>
      </c>
      <c r="Y92" s="310" t="s">
        <v>5791</v>
      </c>
      <c r="Z92" s="310" t="s">
        <v>4558</v>
      </c>
      <c r="AA92" s="18">
        <v>6</v>
      </c>
      <c r="AB92" s="224">
        <v>0</v>
      </c>
      <c r="AC92" s="140" t="s">
        <v>5791</v>
      </c>
      <c r="AD92" s="196" t="s">
        <v>5791</v>
      </c>
      <c r="AE92" s="197" t="s">
        <v>5791</v>
      </c>
      <c r="AF92" s="197" t="s">
        <v>5791</v>
      </c>
      <c r="AG92" s="197" t="s">
        <v>5791</v>
      </c>
      <c r="AH92" s="197" t="s">
        <v>5791</v>
      </c>
      <c r="AI92" s="197" t="s">
        <v>5791</v>
      </c>
      <c r="AJ92" s="301" t="s">
        <v>4812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10">
        <v>0</v>
      </c>
      <c r="AV92" s="310">
        <v>0</v>
      </c>
      <c r="AW92" s="301" t="s">
        <v>5806</v>
      </c>
      <c r="AX92" s="310" t="s">
        <v>6129</v>
      </c>
      <c r="AY92" s="310" t="s">
        <v>6129</v>
      </c>
      <c r="AZ92" s="21">
        <f>5/8*25.4</f>
        <v>15.875</v>
      </c>
      <c r="BA92" s="310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10" t="s">
        <v>4470</v>
      </c>
      <c r="BH92" s="310" t="s">
        <v>6204</v>
      </c>
      <c r="BI92" s="310" t="s">
        <v>6204</v>
      </c>
      <c r="BJ92" s="310">
        <v>2</v>
      </c>
      <c r="BK92" s="310">
        <v>4</v>
      </c>
      <c r="BL92" s="196" t="s">
        <v>5791</v>
      </c>
      <c r="BM92" s="197" t="s">
        <v>5791</v>
      </c>
      <c r="BN92" s="197" t="s">
        <v>5791</v>
      </c>
      <c r="BO92" s="197" t="s">
        <v>5791</v>
      </c>
      <c r="BP92" s="197" t="s">
        <v>5791</v>
      </c>
      <c r="BQ92" s="197" t="s">
        <v>5791</v>
      </c>
      <c r="BR92" s="197" t="s">
        <v>5791</v>
      </c>
      <c r="BS92" s="197" t="s">
        <v>5791</v>
      </c>
      <c r="BT92" s="196" t="s">
        <v>5791</v>
      </c>
      <c r="BU92" s="197" t="s">
        <v>5791</v>
      </c>
      <c r="BV92" s="197" t="s">
        <v>5791</v>
      </c>
      <c r="BW92" s="197" t="s">
        <v>5791</v>
      </c>
      <c r="BX92" s="197" t="s">
        <v>5791</v>
      </c>
      <c r="BY92" s="197" t="s">
        <v>5791</v>
      </c>
      <c r="BZ92" s="212" t="s">
        <v>5791</v>
      </c>
      <c r="CA92" s="197" t="s">
        <v>5791</v>
      </c>
      <c r="CB92" s="197" t="s">
        <v>5791</v>
      </c>
      <c r="CC92" s="197" t="s">
        <v>5791</v>
      </c>
      <c r="CD92" s="197" t="s">
        <v>5791</v>
      </c>
      <c r="CE92" s="197" t="s">
        <v>5791</v>
      </c>
      <c r="CF92" s="212" t="s">
        <v>5791</v>
      </c>
      <c r="CG92" s="197" t="s">
        <v>5791</v>
      </c>
      <c r="CH92" s="197" t="s">
        <v>5791</v>
      </c>
      <c r="CI92" s="197" t="s">
        <v>5791</v>
      </c>
      <c r="CJ92" s="197" t="s">
        <v>5791</v>
      </c>
      <c r="CK92" s="197" t="s">
        <v>5791</v>
      </c>
      <c r="CL92" s="203" t="s">
        <v>5791</v>
      </c>
      <c r="CM92" s="301" t="s">
        <v>4535</v>
      </c>
      <c r="CN92" s="310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10" t="s">
        <v>4535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5791</v>
      </c>
      <c r="CZ92" s="202" t="s">
        <v>5791</v>
      </c>
      <c r="DA92" s="202" t="s">
        <v>5791</v>
      </c>
      <c r="DB92" s="203" t="s">
        <v>5791</v>
      </c>
      <c r="DC92" s="201" t="s">
        <v>5791</v>
      </c>
      <c r="DD92" s="202" t="s">
        <v>5791</v>
      </c>
      <c r="DE92" s="203" t="s">
        <v>5791</v>
      </c>
      <c r="DF92" s="274" t="s">
        <v>5791</v>
      </c>
      <c r="DG92" s="310" t="s">
        <v>4422</v>
      </c>
      <c r="DH92" s="310">
        <v>640</v>
      </c>
      <c r="DI92" s="32">
        <v>730</v>
      </c>
      <c r="DJ92" s="310">
        <v>800</v>
      </c>
      <c r="DK92" s="32">
        <v>940</v>
      </c>
      <c r="DL92" s="60">
        <v>200000</v>
      </c>
      <c r="DM92" s="150" t="s">
        <v>5835</v>
      </c>
      <c r="DN92" s="310" t="s">
        <v>4435</v>
      </c>
      <c r="DO92" s="306" t="s">
        <v>4565</v>
      </c>
    </row>
    <row r="93" spans="1:119">
      <c r="A93" s="18">
        <v>88</v>
      </c>
      <c r="B93" s="349"/>
      <c r="C93" s="349"/>
      <c r="D93" s="360"/>
      <c r="E93" s="360"/>
      <c r="F93" s="349"/>
      <c r="G93" s="349"/>
      <c r="H93" s="349"/>
      <c r="I93" s="349"/>
      <c r="J93" s="286" t="s">
        <v>4523</v>
      </c>
      <c r="K93" s="301" t="s">
        <v>4383</v>
      </c>
      <c r="L93" s="310" t="s">
        <v>5791</v>
      </c>
      <c r="M93" s="301" t="s">
        <v>4551</v>
      </c>
      <c r="N93" s="310" t="s">
        <v>4706</v>
      </c>
      <c r="O93" s="18" t="s">
        <v>4506</v>
      </c>
      <c r="P93" s="310" t="s">
        <v>4420</v>
      </c>
      <c r="Q93" s="310" t="s">
        <v>4420</v>
      </c>
      <c r="R93" s="310" t="s">
        <v>4420</v>
      </c>
      <c r="S93" s="310" t="s">
        <v>5791</v>
      </c>
      <c r="T93" s="59" t="s">
        <v>4420</v>
      </c>
      <c r="U93" s="59" t="s">
        <v>5791</v>
      </c>
      <c r="V93" s="59" t="s">
        <v>4420</v>
      </c>
      <c r="W93" s="59" t="s">
        <v>5791</v>
      </c>
      <c r="X93" s="310" t="s">
        <v>4420</v>
      </c>
      <c r="Y93" s="310" t="s">
        <v>5791</v>
      </c>
      <c r="Z93" s="310" t="s">
        <v>4558</v>
      </c>
      <c r="AA93" s="18">
        <v>6</v>
      </c>
      <c r="AB93" s="224">
        <v>0</v>
      </c>
      <c r="AC93" s="140" t="s">
        <v>5791</v>
      </c>
      <c r="AD93" s="196" t="s">
        <v>5791</v>
      </c>
      <c r="AE93" s="197" t="s">
        <v>5791</v>
      </c>
      <c r="AF93" s="197" t="s">
        <v>5791</v>
      </c>
      <c r="AG93" s="197" t="s">
        <v>5791</v>
      </c>
      <c r="AH93" s="197" t="s">
        <v>5791</v>
      </c>
      <c r="AI93" s="197" t="s">
        <v>5791</v>
      </c>
      <c r="AJ93" s="301" t="s">
        <v>4810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10">
        <v>0</v>
      </c>
      <c r="AV93" s="310">
        <v>0</v>
      </c>
      <c r="AW93" s="301" t="s">
        <v>5806</v>
      </c>
      <c r="AX93" s="310" t="s">
        <v>6129</v>
      </c>
      <c r="AY93" s="310" t="s">
        <v>6129</v>
      </c>
      <c r="AZ93" s="21">
        <f>3/4*25.4</f>
        <v>19.049999999999997</v>
      </c>
      <c r="BA93" s="310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10" t="s">
        <v>4470</v>
      </c>
      <c r="BH93" s="310" t="s">
        <v>6204</v>
      </c>
      <c r="BI93" s="310" t="s">
        <v>6204</v>
      </c>
      <c r="BJ93" s="310">
        <v>2</v>
      </c>
      <c r="BK93" s="310">
        <v>4</v>
      </c>
      <c r="BL93" s="196" t="s">
        <v>5791</v>
      </c>
      <c r="BM93" s="197" t="s">
        <v>5791</v>
      </c>
      <c r="BN93" s="197" t="s">
        <v>5791</v>
      </c>
      <c r="BO93" s="197" t="s">
        <v>5791</v>
      </c>
      <c r="BP93" s="197" t="s">
        <v>5791</v>
      </c>
      <c r="BQ93" s="197" t="s">
        <v>5791</v>
      </c>
      <c r="BR93" s="197" t="s">
        <v>5791</v>
      </c>
      <c r="BS93" s="197" t="s">
        <v>5791</v>
      </c>
      <c r="BT93" s="196" t="s">
        <v>5791</v>
      </c>
      <c r="BU93" s="197" t="s">
        <v>5791</v>
      </c>
      <c r="BV93" s="197" t="s">
        <v>5791</v>
      </c>
      <c r="BW93" s="197" t="s">
        <v>5791</v>
      </c>
      <c r="BX93" s="197" t="s">
        <v>5791</v>
      </c>
      <c r="BY93" s="197" t="s">
        <v>5791</v>
      </c>
      <c r="BZ93" s="212" t="s">
        <v>5791</v>
      </c>
      <c r="CA93" s="197" t="s">
        <v>5791</v>
      </c>
      <c r="CB93" s="197" t="s">
        <v>5791</v>
      </c>
      <c r="CC93" s="197" t="s">
        <v>5791</v>
      </c>
      <c r="CD93" s="197" t="s">
        <v>5791</v>
      </c>
      <c r="CE93" s="197" t="s">
        <v>5791</v>
      </c>
      <c r="CF93" s="212" t="s">
        <v>5791</v>
      </c>
      <c r="CG93" s="197" t="s">
        <v>5791</v>
      </c>
      <c r="CH93" s="197" t="s">
        <v>5791</v>
      </c>
      <c r="CI93" s="197" t="s">
        <v>5791</v>
      </c>
      <c r="CJ93" s="197" t="s">
        <v>5791</v>
      </c>
      <c r="CK93" s="197" t="s">
        <v>5791</v>
      </c>
      <c r="CL93" s="203" t="s">
        <v>5791</v>
      </c>
      <c r="CM93" s="301" t="s">
        <v>4535</v>
      </c>
      <c r="CN93" s="310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10" t="s">
        <v>4535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5791</v>
      </c>
      <c r="CZ93" s="202" t="s">
        <v>5791</v>
      </c>
      <c r="DA93" s="202" t="s">
        <v>5791</v>
      </c>
      <c r="DB93" s="203" t="s">
        <v>5791</v>
      </c>
      <c r="DC93" s="201" t="s">
        <v>5791</v>
      </c>
      <c r="DD93" s="202" t="s">
        <v>5791</v>
      </c>
      <c r="DE93" s="203" t="s">
        <v>5791</v>
      </c>
      <c r="DF93" s="274" t="s">
        <v>5791</v>
      </c>
      <c r="DG93" s="310" t="s">
        <v>4422</v>
      </c>
      <c r="DH93" s="310">
        <v>640</v>
      </c>
      <c r="DI93" s="32">
        <v>730</v>
      </c>
      <c r="DJ93" s="310">
        <v>800</v>
      </c>
      <c r="DK93" s="32">
        <v>940</v>
      </c>
      <c r="DL93" s="60">
        <v>200000</v>
      </c>
      <c r="DM93" s="150" t="s">
        <v>5835</v>
      </c>
      <c r="DN93" s="310" t="s">
        <v>4435</v>
      </c>
      <c r="DO93" s="306" t="s">
        <v>4565</v>
      </c>
    </row>
    <row r="94" spans="1:119">
      <c r="A94" s="18">
        <v>89</v>
      </c>
      <c r="B94" s="349"/>
      <c r="C94" s="349"/>
      <c r="D94" s="360"/>
      <c r="E94" s="360"/>
      <c r="F94" s="349"/>
      <c r="G94" s="349"/>
      <c r="H94" s="349"/>
      <c r="I94" s="349"/>
      <c r="J94" s="286" t="s">
        <v>4524</v>
      </c>
      <c r="K94" s="301" t="s">
        <v>4383</v>
      </c>
      <c r="L94" s="310" t="s">
        <v>5791</v>
      </c>
      <c r="M94" s="301" t="s">
        <v>4551</v>
      </c>
      <c r="N94" s="310" t="s">
        <v>4706</v>
      </c>
      <c r="O94" s="18" t="s">
        <v>4506</v>
      </c>
      <c r="P94" s="310" t="s">
        <v>4420</v>
      </c>
      <c r="Q94" s="310" t="s">
        <v>4420</v>
      </c>
      <c r="R94" s="310" t="s">
        <v>4420</v>
      </c>
      <c r="S94" s="310" t="s">
        <v>5791</v>
      </c>
      <c r="T94" s="59" t="s">
        <v>4420</v>
      </c>
      <c r="U94" s="59" t="s">
        <v>5791</v>
      </c>
      <c r="V94" s="59" t="s">
        <v>4420</v>
      </c>
      <c r="W94" s="59" t="s">
        <v>5791</v>
      </c>
      <c r="X94" s="310" t="s">
        <v>4420</v>
      </c>
      <c r="Y94" s="310" t="s">
        <v>5791</v>
      </c>
      <c r="Z94" s="310" t="s">
        <v>4558</v>
      </c>
      <c r="AA94" s="18">
        <v>6</v>
      </c>
      <c r="AB94" s="224">
        <v>0</v>
      </c>
      <c r="AC94" s="140" t="s">
        <v>5791</v>
      </c>
      <c r="AD94" s="196" t="s">
        <v>5791</v>
      </c>
      <c r="AE94" s="197" t="s">
        <v>5791</v>
      </c>
      <c r="AF94" s="197" t="s">
        <v>5791</v>
      </c>
      <c r="AG94" s="197" t="s">
        <v>5791</v>
      </c>
      <c r="AH94" s="197" t="s">
        <v>5791</v>
      </c>
      <c r="AI94" s="197" t="s">
        <v>5791</v>
      </c>
      <c r="AJ94" s="301" t="s">
        <v>4810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10">
        <v>0</v>
      </c>
      <c r="AV94" s="310">
        <v>0</v>
      </c>
      <c r="AW94" s="301" t="s">
        <v>5806</v>
      </c>
      <c r="AX94" s="310" t="s">
        <v>6129</v>
      </c>
      <c r="AY94" s="310" t="s">
        <v>6129</v>
      </c>
      <c r="AZ94" s="21">
        <f>3/4*25.4</f>
        <v>19.049999999999997</v>
      </c>
      <c r="BA94" s="310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10" t="s">
        <v>4470</v>
      </c>
      <c r="BH94" s="310" t="s">
        <v>6204</v>
      </c>
      <c r="BI94" s="310" t="s">
        <v>6204</v>
      </c>
      <c r="BJ94" s="310">
        <v>2</v>
      </c>
      <c r="BK94" s="310">
        <v>4</v>
      </c>
      <c r="BL94" s="196" t="s">
        <v>5791</v>
      </c>
      <c r="BM94" s="197" t="s">
        <v>5791</v>
      </c>
      <c r="BN94" s="197" t="s">
        <v>5791</v>
      </c>
      <c r="BO94" s="197" t="s">
        <v>5791</v>
      </c>
      <c r="BP94" s="197" t="s">
        <v>5791</v>
      </c>
      <c r="BQ94" s="197" t="s">
        <v>5791</v>
      </c>
      <c r="BR94" s="197" t="s">
        <v>5791</v>
      </c>
      <c r="BS94" s="197" t="s">
        <v>5791</v>
      </c>
      <c r="BT94" s="196" t="s">
        <v>5791</v>
      </c>
      <c r="BU94" s="197" t="s">
        <v>5791</v>
      </c>
      <c r="BV94" s="197" t="s">
        <v>5791</v>
      </c>
      <c r="BW94" s="197" t="s">
        <v>5791</v>
      </c>
      <c r="BX94" s="197" t="s">
        <v>5791</v>
      </c>
      <c r="BY94" s="197" t="s">
        <v>5791</v>
      </c>
      <c r="BZ94" s="212" t="s">
        <v>5791</v>
      </c>
      <c r="CA94" s="197" t="s">
        <v>5791</v>
      </c>
      <c r="CB94" s="197" t="s">
        <v>5791</v>
      </c>
      <c r="CC94" s="197" t="s">
        <v>5791</v>
      </c>
      <c r="CD94" s="197" t="s">
        <v>5791</v>
      </c>
      <c r="CE94" s="197" t="s">
        <v>5791</v>
      </c>
      <c r="CF94" s="212" t="s">
        <v>5791</v>
      </c>
      <c r="CG94" s="197" t="s">
        <v>5791</v>
      </c>
      <c r="CH94" s="197" t="s">
        <v>5791</v>
      </c>
      <c r="CI94" s="197" t="s">
        <v>5791</v>
      </c>
      <c r="CJ94" s="197" t="s">
        <v>5791</v>
      </c>
      <c r="CK94" s="197" t="s">
        <v>5791</v>
      </c>
      <c r="CL94" s="203" t="s">
        <v>5791</v>
      </c>
      <c r="CM94" s="301" t="s">
        <v>4535</v>
      </c>
      <c r="CN94" s="310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10" t="s">
        <v>4535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5791</v>
      </c>
      <c r="CZ94" s="202" t="s">
        <v>5791</v>
      </c>
      <c r="DA94" s="202" t="s">
        <v>5791</v>
      </c>
      <c r="DB94" s="203" t="s">
        <v>5791</v>
      </c>
      <c r="DC94" s="201" t="s">
        <v>5791</v>
      </c>
      <c r="DD94" s="202" t="s">
        <v>5791</v>
      </c>
      <c r="DE94" s="203" t="s">
        <v>5791</v>
      </c>
      <c r="DF94" s="274" t="s">
        <v>5791</v>
      </c>
      <c r="DG94" s="310" t="s">
        <v>4422</v>
      </c>
      <c r="DH94" s="310">
        <v>640</v>
      </c>
      <c r="DI94" s="32">
        <v>730</v>
      </c>
      <c r="DJ94" s="310">
        <v>800</v>
      </c>
      <c r="DK94" s="32">
        <v>940</v>
      </c>
      <c r="DL94" s="60">
        <v>200000</v>
      </c>
      <c r="DM94" s="150" t="s">
        <v>5835</v>
      </c>
      <c r="DN94" s="310" t="s">
        <v>4435</v>
      </c>
      <c r="DO94" s="306" t="s">
        <v>4565</v>
      </c>
    </row>
    <row r="95" spans="1:119">
      <c r="A95" s="18">
        <v>90</v>
      </c>
      <c r="B95" s="349"/>
      <c r="C95" s="349"/>
      <c r="D95" s="360"/>
      <c r="E95" s="360"/>
      <c r="F95" s="349"/>
      <c r="G95" s="349"/>
      <c r="H95" s="349"/>
      <c r="I95" s="349"/>
      <c r="J95" s="286" t="s">
        <v>4525</v>
      </c>
      <c r="K95" s="301" t="s">
        <v>4383</v>
      </c>
      <c r="L95" s="310" t="s">
        <v>5791</v>
      </c>
      <c r="M95" s="301" t="s">
        <v>4551</v>
      </c>
      <c r="N95" s="310" t="s">
        <v>4706</v>
      </c>
      <c r="O95" s="18" t="s">
        <v>4506</v>
      </c>
      <c r="P95" s="310" t="s">
        <v>4420</v>
      </c>
      <c r="Q95" s="310" t="s">
        <v>4420</v>
      </c>
      <c r="R95" s="310" t="s">
        <v>4420</v>
      </c>
      <c r="S95" s="310" t="s">
        <v>5791</v>
      </c>
      <c r="T95" s="59" t="s">
        <v>4420</v>
      </c>
      <c r="U95" s="59" t="s">
        <v>5791</v>
      </c>
      <c r="V95" s="59" t="s">
        <v>4420</v>
      </c>
      <c r="W95" s="59" t="s">
        <v>5791</v>
      </c>
      <c r="X95" s="310" t="s">
        <v>4420</v>
      </c>
      <c r="Y95" s="310" t="s">
        <v>5791</v>
      </c>
      <c r="Z95" s="310" t="s">
        <v>4558</v>
      </c>
      <c r="AA95" s="18">
        <v>6</v>
      </c>
      <c r="AB95" s="224">
        <v>0</v>
      </c>
      <c r="AC95" s="140" t="s">
        <v>5791</v>
      </c>
      <c r="AD95" s="196" t="s">
        <v>5791</v>
      </c>
      <c r="AE95" s="197" t="s">
        <v>5791</v>
      </c>
      <c r="AF95" s="197" t="s">
        <v>5791</v>
      </c>
      <c r="AG95" s="197" t="s">
        <v>5791</v>
      </c>
      <c r="AH95" s="197" t="s">
        <v>5791</v>
      </c>
      <c r="AI95" s="197" t="s">
        <v>5791</v>
      </c>
      <c r="AJ95" s="301" t="s">
        <v>4809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10">
        <v>0</v>
      </c>
      <c r="AV95" s="310">
        <v>0</v>
      </c>
      <c r="AW95" s="301" t="s">
        <v>5806</v>
      </c>
      <c r="AX95" s="310" t="s">
        <v>6129</v>
      </c>
      <c r="AY95" s="310" t="s">
        <v>6129</v>
      </c>
      <c r="AZ95" s="21">
        <f>5/8*25.4</f>
        <v>15.875</v>
      </c>
      <c r="BA95" s="310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10" t="s">
        <v>4420</v>
      </c>
      <c r="BH95" s="310" t="s">
        <v>4465</v>
      </c>
      <c r="BI95" s="310" t="s">
        <v>6204</v>
      </c>
      <c r="BJ95" s="310">
        <v>4</v>
      </c>
      <c r="BK95" s="310">
        <v>6</v>
      </c>
      <c r="BL95" s="196" t="s">
        <v>5791</v>
      </c>
      <c r="BM95" s="197" t="s">
        <v>5791</v>
      </c>
      <c r="BN95" s="197" t="s">
        <v>5791</v>
      </c>
      <c r="BO95" s="197" t="s">
        <v>5791</v>
      </c>
      <c r="BP95" s="197" t="s">
        <v>5791</v>
      </c>
      <c r="BQ95" s="197" t="s">
        <v>5791</v>
      </c>
      <c r="BR95" s="197" t="s">
        <v>5791</v>
      </c>
      <c r="BS95" s="197" t="s">
        <v>5791</v>
      </c>
      <c r="BT95" s="196" t="s">
        <v>5791</v>
      </c>
      <c r="BU95" s="197" t="s">
        <v>5791</v>
      </c>
      <c r="BV95" s="197" t="s">
        <v>5791</v>
      </c>
      <c r="BW95" s="197" t="s">
        <v>5791</v>
      </c>
      <c r="BX95" s="197" t="s">
        <v>5791</v>
      </c>
      <c r="BY95" s="197" t="s">
        <v>5791</v>
      </c>
      <c r="BZ95" s="212" t="s">
        <v>5791</v>
      </c>
      <c r="CA95" s="197" t="s">
        <v>5791</v>
      </c>
      <c r="CB95" s="197" t="s">
        <v>5791</v>
      </c>
      <c r="CC95" s="197" t="s">
        <v>5791</v>
      </c>
      <c r="CD95" s="197" t="s">
        <v>5791</v>
      </c>
      <c r="CE95" s="197" t="s">
        <v>5791</v>
      </c>
      <c r="CF95" s="212" t="s">
        <v>5791</v>
      </c>
      <c r="CG95" s="197" t="s">
        <v>5791</v>
      </c>
      <c r="CH95" s="197" t="s">
        <v>5791</v>
      </c>
      <c r="CI95" s="197" t="s">
        <v>5791</v>
      </c>
      <c r="CJ95" s="197" t="s">
        <v>5791</v>
      </c>
      <c r="CK95" s="197" t="s">
        <v>5791</v>
      </c>
      <c r="CL95" s="203" t="s">
        <v>5791</v>
      </c>
      <c r="CM95" s="301" t="s">
        <v>4535</v>
      </c>
      <c r="CN95" s="310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10" t="s">
        <v>4535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5791</v>
      </c>
      <c r="CZ95" s="202" t="s">
        <v>5791</v>
      </c>
      <c r="DA95" s="202" t="s">
        <v>5791</v>
      </c>
      <c r="DB95" s="203" t="s">
        <v>5791</v>
      </c>
      <c r="DC95" s="201" t="s">
        <v>5791</v>
      </c>
      <c r="DD95" s="202" t="s">
        <v>5791</v>
      </c>
      <c r="DE95" s="203" t="s">
        <v>5791</v>
      </c>
      <c r="DF95" s="274" t="s">
        <v>5791</v>
      </c>
      <c r="DG95" s="310" t="s">
        <v>4422</v>
      </c>
      <c r="DH95" s="310">
        <v>640</v>
      </c>
      <c r="DI95" s="32">
        <v>730</v>
      </c>
      <c r="DJ95" s="310">
        <v>800</v>
      </c>
      <c r="DK95" s="32">
        <v>940</v>
      </c>
      <c r="DL95" s="60">
        <v>200000</v>
      </c>
      <c r="DM95" s="150" t="s">
        <v>5835</v>
      </c>
      <c r="DN95" s="310" t="s">
        <v>4435</v>
      </c>
      <c r="DO95" s="306" t="s">
        <v>4565</v>
      </c>
    </row>
    <row r="96" spans="1:119">
      <c r="A96" s="18">
        <v>91</v>
      </c>
      <c r="B96" s="349"/>
      <c r="C96" s="349"/>
      <c r="D96" s="360"/>
      <c r="E96" s="360"/>
      <c r="F96" s="349"/>
      <c r="G96" s="349"/>
      <c r="H96" s="349"/>
      <c r="I96" s="349"/>
      <c r="J96" s="286" t="s">
        <v>4526</v>
      </c>
      <c r="K96" s="301" t="s">
        <v>4383</v>
      </c>
      <c r="L96" s="310" t="s">
        <v>5791</v>
      </c>
      <c r="M96" s="301" t="s">
        <v>4551</v>
      </c>
      <c r="N96" s="310" t="s">
        <v>4706</v>
      </c>
      <c r="O96" s="18" t="s">
        <v>4506</v>
      </c>
      <c r="P96" s="310" t="s">
        <v>4420</v>
      </c>
      <c r="Q96" s="310" t="s">
        <v>4420</v>
      </c>
      <c r="R96" s="310" t="s">
        <v>4420</v>
      </c>
      <c r="S96" s="310" t="s">
        <v>5791</v>
      </c>
      <c r="T96" s="59" t="s">
        <v>4420</v>
      </c>
      <c r="U96" s="59" t="s">
        <v>5791</v>
      </c>
      <c r="V96" s="59" t="s">
        <v>4420</v>
      </c>
      <c r="W96" s="59" t="s">
        <v>5791</v>
      </c>
      <c r="X96" s="310" t="s">
        <v>4420</v>
      </c>
      <c r="Y96" s="310" t="s">
        <v>5791</v>
      </c>
      <c r="Z96" s="310" t="s">
        <v>4558</v>
      </c>
      <c r="AA96" s="18">
        <v>6</v>
      </c>
      <c r="AB96" s="224">
        <v>0</v>
      </c>
      <c r="AC96" s="140" t="s">
        <v>5791</v>
      </c>
      <c r="AD96" s="196" t="s">
        <v>5791</v>
      </c>
      <c r="AE96" s="197" t="s">
        <v>5791</v>
      </c>
      <c r="AF96" s="197" t="s">
        <v>5791</v>
      </c>
      <c r="AG96" s="197" t="s">
        <v>5791</v>
      </c>
      <c r="AH96" s="197" t="s">
        <v>5791</v>
      </c>
      <c r="AI96" s="197" t="s">
        <v>5791</v>
      </c>
      <c r="AJ96" s="301" t="s">
        <v>4809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10">
        <v>0</v>
      </c>
      <c r="AV96" s="310">
        <v>0</v>
      </c>
      <c r="AW96" s="301" t="s">
        <v>5806</v>
      </c>
      <c r="AX96" s="310" t="s">
        <v>6129</v>
      </c>
      <c r="AY96" s="310" t="s">
        <v>6129</v>
      </c>
      <c r="AZ96" s="21">
        <f>5/8*25.4</f>
        <v>15.875</v>
      </c>
      <c r="BA96" s="310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10" t="s">
        <v>4420</v>
      </c>
      <c r="BH96" s="310" t="s">
        <v>4465</v>
      </c>
      <c r="BI96" s="310" t="s">
        <v>6204</v>
      </c>
      <c r="BJ96" s="310">
        <v>4</v>
      </c>
      <c r="BK96" s="310">
        <v>6</v>
      </c>
      <c r="BL96" s="196" t="s">
        <v>5791</v>
      </c>
      <c r="BM96" s="197" t="s">
        <v>5791</v>
      </c>
      <c r="BN96" s="197" t="s">
        <v>5791</v>
      </c>
      <c r="BO96" s="197" t="s">
        <v>5791</v>
      </c>
      <c r="BP96" s="197" t="s">
        <v>5791</v>
      </c>
      <c r="BQ96" s="197" t="s">
        <v>5791</v>
      </c>
      <c r="BR96" s="197" t="s">
        <v>5791</v>
      </c>
      <c r="BS96" s="197" t="s">
        <v>5791</v>
      </c>
      <c r="BT96" s="196" t="s">
        <v>5791</v>
      </c>
      <c r="BU96" s="197" t="s">
        <v>5791</v>
      </c>
      <c r="BV96" s="197" t="s">
        <v>5791</v>
      </c>
      <c r="BW96" s="197" t="s">
        <v>5791</v>
      </c>
      <c r="BX96" s="197" t="s">
        <v>5791</v>
      </c>
      <c r="BY96" s="197" t="s">
        <v>5791</v>
      </c>
      <c r="BZ96" s="212" t="s">
        <v>5791</v>
      </c>
      <c r="CA96" s="197" t="s">
        <v>5791</v>
      </c>
      <c r="CB96" s="197" t="s">
        <v>5791</v>
      </c>
      <c r="CC96" s="197" t="s">
        <v>5791</v>
      </c>
      <c r="CD96" s="197" t="s">
        <v>5791</v>
      </c>
      <c r="CE96" s="197" t="s">
        <v>5791</v>
      </c>
      <c r="CF96" s="212" t="s">
        <v>5791</v>
      </c>
      <c r="CG96" s="197" t="s">
        <v>5791</v>
      </c>
      <c r="CH96" s="197" t="s">
        <v>5791</v>
      </c>
      <c r="CI96" s="197" t="s">
        <v>5791</v>
      </c>
      <c r="CJ96" s="197" t="s">
        <v>5791</v>
      </c>
      <c r="CK96" s="197" t="s">
        <v>5791</v>
      </c>
      <c r="CL96" s="203" t="s">
        <v>5791</v>
      </c>
      <c r="CM96" s="301" t="s">
        <v>4535</v>
      </c>
      <c r="CN96" s="310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10" t="s">
        <v>4535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5791</v>
      </c>
      <c r="CZ96" s="202" t="s">
        <v>5791</v>
      </c>
      <c r="DA96" s="202" t="s">
        <v>5791</v>
      </c>
      <c r="DB96" s="203" t="s">
        <v>5791</v>
      </c>
      <c r="DC96" s="201" t="s">
        <v>5791</v>
      </c>
      <c r="DD96" s="202" t="s">
        <v>5791</v>
      </c>
      <c r="DE96" s="203" t="s">
        <v>5791</v>
      </c>
      <c r="DF96" s="274" t="s">
        <v>5791</v>
      </c>
      <c r="DG96" s="310" t="s">
        <v>4422</v>
      </c>
      <c r="DH96" s="310">
        <v>640</v>
      </c>
      <c r="DI96" s="32">
        <v>730</v>
      </c>
      <c r="DJ96" s="310">
        <v>800</v>
      </c>
      <c r="DK96" s="32">
        <v>940</v>
      </c>
      <c r="DL96" s="60">
        <v>200000</v>
      </c>
      <c r="DM96" s="150" t="s">
        <v>5835</v>
      </c>
      <c r="DN96" s="310" t="s">
        <v>4435</v>
      </c>
      <c r="DO96" s="306" t="s">
        <v>4565</v>
      </c>
    </row>
    <row r="97" spans="1:119">
      <c r="A97" s="18">
        <v>92</v>
      </c>
      <c r="B97" s="349"/>
      <c r="C97" s="349"/>
      <c r="D97" s="360"/>
      <c r="E97" s="360"/>
      <c r="F97" s="349"/>
      <c r="G97" s="349"/>
      <c r="H97" s="349"/>
      <c r="I97" s="349"/>
      <c r="J97" s="286" t="s">
        <v>4530</v>
      </c>
      <c r="K97" s="301" t="s">
        <v>4383</v>
      </c>
      <c r="L97" s="310" t="s">
        <v>5791</v>
      </c>
      <c r="M97" s="301" t="s">
        <v>4551</v>
      </c>
      <c r="N97" s="310" t="s">
        <v>4706</v>
      </c>
      <c r="O97" s="18" t="s">
        <v>4506</v>
      </c>
      <c r="P97" s="310" t="s">
        <v>4420</v>
      </c>
      <c r="Q97" s="310" t="s">
        <v>4420</v>
      </c>
      <c r="R97" s="310" t="s">
        <v>4420</v>
      </c>
      <c r="S97" s="310" t="s">
        <v>5791</v>
      </c>
      <c r="T97" s="59" t="s">
        <v>4420</v>
      </c>
      <c r="U97" s="59" t="s">
        <v>5791</v>
      </c>
      <c r="V97" s="59" t="s">
        <v>4420</v>
      </c>
      <c r="W97" s="59" t="s">
        <v>5791</v>
      </c>
      <c r="X97" s="310" t="s">
        <v>4420</v>
      </c>
      <c r="Y97" s="310" t="s">
        <v>5791</v>
      </c>
      <c r="Z97" s="310" t="s">
        <v>4558</v>
      </c>
      <c r="AA97" s="18">
        <v>6</v>
      </c>
      <c r="AB97" s="224">
        <v>0</v>
      </c>
      <c r="AC97" s="140" t="s">
        <v>5791</v>
      </c>
      <c r="AD97" s="196" t="s">
        <v>5791</v>
      </c>
      <c r="AE97" s="197" t="s">
        <v>5791</v>
      </c>
      <c r="AF97" s="197" t="s">
        <v>5791</v>
      </c>
      <c r="AG97" s="197" t="s">
        <v>5791</v>
      </c>
      <c r="AH97" s="197" t="s">
        <v>5791</v>
      </c>
      <c r="AI97" s="197" t="s">
        <v>5791</v>
      </c>
      <c r="AJ97" s="301" t="s">
        <v>4810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10">
        <v>0</v>
      </c>
      <c r="AV97" s="310">
        <v>0</v>
      </c>
      <c r="AW97" s="301" t="s">
        <v>5806</v>
      </c>
      <c r="AX97" s="310" t="s">
        <v>6129</v>
      </c>
      <c r="AY97" s="310" t="s">
        <v>6129</v>
      </c>
      <c r="AZ97" s="21">
        <f>3/4*25.4</f>
        <v>19.049999999999997</v>
      </c>
      <c r="BA97" s="310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10" t="s">
        <v>4420</v>
      </c>
      <c r="BH97" s="310" t="s">
        <v>4465</v>
      </c>
      <c r="BI97" s="310" t="s">
        <v>6204</v>
      </c>
      <c r="BJ97" s="310">
        <v>4</v>
      </c>
      <c r="BK97" s="310">
        <v>6</v>
      </c>
      <c r="BL97" s="196" t="s">
        <v>5791</v>
      </c>
      <c r="BM97" s="197" t="s">
        <v>5791</v>
      </c>
      <c r="BN97" s="197" t="s">
        <v>5791</v>
      </c>
      <c r="BO97" s="197" t="s">
        <v>5791</v>
      </c>
      <c r="BP97" s="197" t="s">
        <v>5791</v>
      </c>
      <c r="BQ97" s="197" t="s">
        <v>5791</v>
      </c>
      <c r="BR97" s="197" t="s">
        <v>5791</v>
      </c>
      <c r="BS97" s="197" t="s">
        <v>5791</v>
      </c>
      <c r="BT97" s="196" t="s">
        <v>5791</v>
      </c>
      <c r="BU97" s="197" t="s">
        <v>5791</v>
      </c>
      <c r="BV97" s="197" t="s">
        <v>5791</v>
      </c>
      <c r="BW97" s="197" t="s">
        <v>5791</v>
      </c>
      <c r="BX97" s="197" t="s">
        <v>5791</v>
      </c>
      <c r="BY97" s="197" t="s">
        <v>5791</v>
      </c>
      <c r="BZ97" s="212" t="s">
        <v>5791</v>
      </c>
      <c r="CA97" s="197" t="s">
        <v>5791</v>
      </c>
      <c r="CB97" s="197" t="s">
        <v>5791</v>
      </c>
      <c r="CC97" s="197" t="s">
        <v>5791</v>
      </c>
      <c r="CD97" s="197" t="s">
        <v>5791</v>
      </c>
      <c r="CE97" s="197" t="s">
        <v>5791</v>
      </c>
      <c r="CF97" s="212" t="s">
        <v>5791</v>
      </c>
      <c r="CG97" s="197" t="s">
        <v>5791</v>
      </c>
      <c r="CH97" s="197" t="s">
        <v>5791</v>
      </c>
      <c r="CI97" s="197" t="s">
        <v>5791</v>
      </c>
      <c r="CJ97" s="197" t="s">
        <v>5791</v>
      </c>
      <c r="CK97" s="197" t="s">
        <v>5791</v>
      </c>
      <c r="CL97" s="203" t="s">
        <v>5791</v>
      </c>
      <c r="CM97" s="301" t="s">
        <v>4535</v>
      </c>
      <c r="CN97" s="310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10" t="s">
        <v>4535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5791</v>
      </c>
      <c r="CZ97" s="202" t="s">
        <v>5791</v>
      </c>
      <c r="DA97" s="202" t="s">
        <v>5791</v>
      </c>
      <c r="DB97" s="203" t="s">
        <v>5791</v>
      </c>
      <c r="DC97" s="201" t="s">
        <v>5791</v>
      </c>
      <c r="DD97" s="202" t="s">
        <v>5791</v>
      </c>
      <c r="DE97" s="203" t="s">
        <v>5791</v>
      </c>
      <c r="DF97" s="274" t="s">
        <v>5791</v>
      </c>
      <c r="DG97" s="310" t="s">
        <v>4422</v>
      </c>
      <c r="DH97" s="310">
        <v>640</v>
      </c>
      <c r="DI97" s="32">
        <v>730</v>
      </c>
      <c r="DJ97" s="310">
        <v>800</v>
      </c>
      <c r="DK97" s="32">
        <v>940</v>
      </c>
      <c r="DL97" s="60">
        <v>200000</v>
      </c>
      <c r="DM97" s="150" t="s">
        <v>5835</v>
      </c>
      <c r="DN97" s="310" t="s">
        <v>4435</v>
      </c>
      <c r="DO97" s="306" t="s">
        <v>4565</v>
      </c>
    </row>
    <row r="98" spans="1:119">
      <c r="A98" s="18">
        <v>93</v>
      </c>
      <c r="B98" s="349"/>
      <c r="C98" s="349"/>
      <c r="D98" s="360"/>
      <c r="E98" s="360"/>
      <c r="F98" s="349"/>
      <c r="G98" s="349"/>
      <c r="H98" s="349"/>
      <c r="I98" s="349"/>
      <c r="J98" s="286" t="s">
        <v>4527</v>
      </c>
      <c r="K98" s="301" t="s">
        <v>4383</v>
      </c>
      <c r="L98" s="310" t="s">
        <v>5791</v>
      </c>
      <c r="M98" s="301" t="s">
        <v>4551</v>
      </c>
      <c r="N98" s="310" t="s">
        <v>4706</v>
      </c>
      <c r="O98" s="18" t="s">
        <v>4506</v>
      </c>
      <c r="P98" s="310" t="s">
        <v>4420</v>
      </c>
      <c r="Q98" s="310" t="s">
        <v>4420</v>
      </c>
      <c r="R98" s="310" t="s">
        <v>4420</v>
      </c>
      <c r="S98" s="310" t="s">
        <v>5791</v>
      </c>
      <c r="T98" s="59" t="s">
        <v>4420</v>
      </c>
      <c r="U98" s="59" t="s">
        <v>5791</v>
      </c>
      <c r="V98" s="59" t="s">
        <v>4420</v>
      </c>
      <c r="W98" s="59" t="s">
        <v>5791</v>
      </c>
      <c r="X98" s="310" t="s">
        <v>4420</v>
      </c>
      <c r="Y98" s="310" t="s">
        <v>5791</v>
      </c>
      <c r="Z98" s="310" t="s">
        <v>4558</v>
      </c>
      <c r="AA98" s="18">
        <v>6</v>
      </c>
      <c r="AB98" s="224">
        <v>0</v>
      </c>
      <c r="AC98" s="140" t="s">
        <v>5791</v>
      </c>
      <c r="AD98" s="196" t="s">
        <v>5791</v>
      </c>
      <c r="AE98" s="197" t="s">
        <v>5791</v>
      </c>
      <c r="AF98" s="197" t="s">
        <v>5791</v>
      </c>
      <c r="AG98" s="197" t="s">
        <v>5791</v>
      </c>
      <c r="AH98" s="197" t="s">
        <v>5791</v>
      </c>
      <c r="AI98" s="197" t="s">
        <v>5791</v>
      </c>
      <c r="AJ98" s="301" t="s">
        <v>4810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10">
        <v>0</v>
      </c>
      <c r="AV98" s="310">
        <v>0</v>
      </c>
      <c r="AW98" s="301" t="s">
        <v>5806</v>
      </c>
      <c r="AX98" s="310" t="s">
        <v>6129</v>
      </c>
      <c r="AY98" s="310" t="s">
        <v>6129</v>
      </c>
      <c r="AZ98" s="21">
        <f t="shared" ref="AZ98:AZ108" si="26">3/4*25.4</f>
        <v>19.049999999999997</v>
      </c>
      <c r="BA98" s="310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10" t="s">
        <v>4420</v>
      </c>
      <c r="BH98" s="310" t="s">
        <v>4465</v>
      </c>
      <c r="BI98" s="310" t="s">
        <v>6204</v>
      </c>
      <c r="BJ98" s="310">
        <v>4</v>
      </c>
      <c r="BK98" s="310">
        <v>6</v>
      </c>
      <c r="BL98" s="196" t="s">
        <v>5791</v>
      </c>
      <c r="BM98" s="197" t="s">
        <v>5791</v>
      </c>
      <c r="BN98" s="197" t="s">
        <v>5791</v>
      </c>
      <c r="BO98" s="197" t="s">
        <v>5791</v>
      </c>
      <c r="BP98" s="197" t="s">
        <v>5791</v>
      </c>
      <c r="BQ98" s="197" t="s">
        <v>5791</v>
      </c>
      <c r="BR98" s="197" t="s">
        <v>5791</v>
      </c>
      <c r="BS98" s="197" t="s">
        <v>5791</v>
      </c>
      <c r="BT98" s="196" t="s">
        <v>5791</v>
      </c>
      <c r="BU98" s="197" t="s">
        <v>5791</v>
      </c>
      <c r="BV98" s="197" t="s">
        <v>5791</v>
      </c>
      <c r="BW98" s="197" t="s">
        <v>5791</v>
      </c>
      <c r="BX98" s="197" t="s">
        <v>5791</v>
      </c>
      <c r="BY98" s="197" t="s">
        <v>5791</v>
      </c>
      <c r="BZ98" s="212" t="s">
        <v>5791</v>
      </c>
      <c r="CA98" s="197" t="s">
        <v>5791</v>
      </c>
      <c r="CB98" s="197" t="s">
        <v>5791</v>
      </c>
      <c r="CC98" s="197" t="s">
        <v>5791</v>
      </c>
      <c r="CD98" s="197" t="s">
        <v>5791</v>
      </c>
      <c r="CE98" s="197" t="s">
        <v>5791</v>
      </c>
      <c r="CF98" s="212" t="s">
        <v>5791</v>
      </c>
      <c r="CG98" s="197" t="s">
        <v>5791</v>
      </c>
      <c r="CH98" s="197" t="s">
        <v>5791</v>
      </c>
      <c r="CI98" s="197" t="s">
        <v>5791</v>
      </c>
      <c r="CJ98" s="197" t="s">
        <v>5791</v>
      </c>
      <c r="CK98" s="197" t="s">
        <v>5791</v>
      </c>
      <c r="CL98" s="203" t="s">
        <v>5791</v>
      </c>
      <c r="CM98" s="301" t="s">
        <v>4535</v>
      </c>
      <c r="CN98" s="310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10" t="s">
        <v>4535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5791</v>
      </c>
      <c r="CZ98" s="202" t="s">
        <v>5791</v>
      </c>
      <c r="DA98" s="202" t="s">
        <v>5791</v>
      </c>
      <c r="DB98" s="203" t="s">
        <v>5791</v>
      </c>
      <c r="DC98" s="201" t="s">
        <v>5791</v>
      </c>
      <c r="DD98" s="202" t="s">
        <v>5791</v>
      </c>
      <c r="DE98" s="203" t="s">
        <v>5791</v>
      </c>
      <c r="DF98" s="274" t="s">
        <v>5791</v>
      </c>
      <c r="DG98" s="310" t="s">
        <v>4422</v>
      </c>
      <c r="DH98" s="310">
        <v>640</v>
      </c>
      <c r="DI98" s="32">
        <v>730</v>
      </c>
      <c r="DJ98" s="310">
        <v>800</v>
      </c>
      <c r="DK98" s="32">
        <v>940</v>
      </c>
      <c r="DL98" s="60">
        <v>200000</v>
      </c>
      <c r="DM98" s="150" t="s">
        <v>5835</v>
      </c>
      <c r="DN98" s="310" t="s">
        <v>4435</v>
      </c>
      <c r="DO98" s="306" t="s">
        <v>4565</v>
      </c>
    </row>
    <row r="99" spans="1:119">
      <c r="A99" s="18">
        <v>94</v>
      </c>
      <c r="B99" s="349"/>
      <c r="C99" s="349"/>
      <c r="D99" s="360"/>
      <c r="E99" s="360"/>
      <c r="F99" s="349"/>
      <c r="G99" s="349"/>
      <c r="H99" s="349"/>
      <c r="I99" s="349"/>
      <c r="J99" s="286" t="s">
        <v>4528</v>
      </c>
      <c r="K99" s="301" t="s">
        <v>4383</v>
      </c>
      <c r="L99" s="310" t="s">
        <v>5791</v>
      </c>
      <c r="M99" s="301" t="s">
        <v>4551</v>
      </c>
      <c r="N99" s="310" t="s">
        <v>4706</v>
      </c>
      <c r="O99" s="18" t="s">
        <v>4506</v>
      </c>
      <c r="P99" s="310" t="s">
        <v>4420</v>
      </c>
      <c r="Q99" s="310" t="s">
        <v>4420</v>
      </c>
      <c r="R99" s="310" t="s">
        <v>4420</v>
      </c>
      <c r="S99" s="310" t="s">
        <v>5791</v>
      </c>
      <c r="T99" s="59" t="s">
        <v>4420</v>
      </c>
      <c r="U99" s="59" t="s">
        <v>5791</v>
      </c>
      <c r="V99" s="59" t="s">
        <v>4420</v>
      </c>
      <c r="W99" s="59" t="s">
        <v>5791</v>
      </c>
      <c r="X99" s="310" t="s">
        <v>4420</v>
      </c>
      <c r="Y99" s="310" t="s">
        <v>5791</v>
      </c>
      <c r="Z99" s="310" t="s">
        <v>4558</v>
      </c>
      <c r="AA99" s="18">
        <v>6</v>
      </c>
      <c r="AB99" s="224">
        <v>0</v>
      </c>
      <c r="AC99" s="140" t="s">
        <v>5791</v>
      </c>
      <c r="AD99" s="196" t="s">
        <v>5791</v>
      </c>
      <c r="AE99" s="197" t="s">
        <v>5791</v>
      </c>
      <c r="AF99" s="197" t="s">
        <v>5791</v>
      </c>
      <c r="AG99" s="197" t="s">
        <v>5791</v>
      </c>
      <c r="AH99" s="197" t="s">
        <v>5791</v>
      </c>
      <c r="AI99" s="197" t="s">
        <v>5791</v>
      </c>
      <c r="AJ99" s="301" t="s">
        <v>4809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10">
        <v>0</v>
      </c>
      <c r="AV99" s="310">
        <v>0</v>
      </c>
      <c r="AW99" s="301" t="s">
        <v>5806</v>
      </c>
      <c r="AX99" s="310" t="s">
        <v>6129</v>
      </c>
      <c r="AY99" s="310" t="s">
        <v>6129</v>
      </c>
      <c r="AZ99" s="21">
        <f t="shared" si="26"/>
        <v>19.049999999999997</v>
      </c>
      <c r="BA99" s="310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10" t="s">
        <v>4420</v>
      </c>
      <c r="BH99" s="310" t="s">
        <v>4465</v>
      </c>
      <c r="BI99" s="310" t="s">
        <v>6204</v>
      </c>
      <c r="BJ99" s="310">
        <v>4</v>
      </c>
      <c r="BK99" s="310">
        <v>6</v>
      </c>
      <c r="BL99" s="196" t="s">
        <v>5791</v>
      </c>
      <c r="BM99" s="197" t="s">
        <v>5791</v>
      </c>
      <c r="BN99" s="197" t="s">
        <v>5791</v>
      </c>
      <c r="BO99" s="197" t="s">
        <v>5791</v>
      </c>
      <c r="BP99" s="197" t="s">
        <v>5791</v>
      </c>
      <c r="BQ99" s="197" t="s">
        <v>5791</v>
      </c>
      <c r="BR99" s="197" t="s">
        <v>5791</v>
      </c>
      <c r="BS99" s="197" t="s">
        <v>5791</v>
      </c>
      <c r="BT99" s="196" t="s">
        <v>5791</v>
      </c>
      <c r="BU99" s="197" t="s">
        <v>5791</v>
      </c>
      <c r="BV99" s="197" t="s">
        <v>5791</v>
      </c>
      <c r="BW99" s="197" t="s">
        <v>5791</v>
      </c>
      <c r="BX99" s="197" t="s">
        <v>5791</v>
      </c>
      <c r="BY99" s="197" t="s">
        <v>5791</v>
      </c>
      <c r="BZ99" s="212" t="s">
        <v>5791</v>
      </c>
      <c r="CA99" s="197" t="s">
        <v>5791</v>
      </c>
      <c r="CB99" s="197" t="s">
        <v>5791</v>
      </c>
      <c r="CC99" s="197" t="s">
        <v>5791</v>
      </c>
      <c r="CD99" s="197" t="s">
        <v>5791</v>
      </c>
      <c r="CE99" s="197" t="s">
        <v>5791</v>
      </c>
      <c r="CF99" s="212" t="s">
        <v>5791</v>
      </c>
      <c r="CG99" s="197" t="s">
        <v>5791</v>
      </c>
      <c r="CH99" s="197" t="s">
        <v>5791</v>
      </c>
      <c r="CI99" s="197" t="s">
        <v>5791</v>
      </c>
      <c r="CJ99" s="197" t="s">
        <v>5791</v>
      </c>
      <c r="CK99" s="197" t="s">
        <v>5791</v>
      </c>
      <c r="CL99" s="203" t="s">
        <v>5791</v>
      </c>
      <c r="CM99" s="301" t="s">
        <v>4535</v>
      </c>
      <c r="CN99" s="310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10" t="s">
        <v>4535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5791</v>
      </c>
      <c r="CZ99" s="202" t="s">
        <v>5791</v>
      </c>
      <c r="DA99" s="202" t="s">
        <v>5791</v>
      </c>
      <c r="DB99" s="203" t="s">
        <v>5791</v>
      </c>
      <c r="DC99" s="201" t="s">
        <v>5791</v>
      </c>
      <c r="DD99" s="202" t="s">
        <v>5791</v>
      </c>
      <c r="DE99" s="203" t="s">
        <v>5791</v>
      </c>
      <c r="DF99" s="274" t="s">
        <v>5791</v>
      </c>
      <c r="DG99" s="310" t="s">
        <v>4422</v>
      </c>
      <c r="DH99" s="310">
        <v>640</v>
      </c>
      <c r="DI99" s="32">
        <v>730</v>
      </c>
      <c r="DJ99" s="310">
        <v>800</v>
      </c>
      <c r="DK99" s="32">
        <v>940</v>
      </c>
      <c r="DL99" s="60">
        <v>200000</v>
      </c>
      <c r="DM99" s="150" t="s">
        <v>5835</v>
      </c>
      <c r="DN99" s="310" t="s">
        <v>4435</v>
      </c>
      <c r="DO99" s="306" t="s">
        <v>4565</v>
      </c>
    </row>
    <row r="100" spans="1:119" ht="16.2" thickBot="1">
      <c r="A100" s="18">
        <v>95</v>
      </c>
      <c r="B100" s="350"/>
      <c r="C100" s="350"/>
      <c r="D100" s="360"/>
      <c r="E100" s="360"/>
      <c r="F100" s="349"/>
      <c r="G100" s="349"/>
      <c r="H100" s="349"/>
      <c r="I100" s="349"/>
      <c r="J100" s="286" t="s">
        <v>4529</v>
      </c>
      <c r="K100" s="301" t="s">
        <v>4383</v>
      </c>
      <c r="L100" s="310" t="s">
        <v>5791</v>
      </c>
      <c r="M100" s="301" t="s">
        <v>4551</v>
      </c>
      <c r="N100" s="310" t="s">
        <v>4706</v>
      </c>
      <c r="O100" s="18" t="s">
        <v>4506</v>
      </c>
      <c r="P100" s="310" t="s">
        <v>4420</v>
      </c>
      <c r="Q100" s="310" t="s">
        <v>4420</v>
      </c>
      <c r="R100" s="310" t="s">
        <v>4420</v>
      </c>
      <c r="S100" s="310" t="s">
        <v>5791</v>
      </c>
      <c r="T100" s="59" t="s">
        <v>4420</v>
      </c>
      <c r="U100" s="59" t="s">
        <v>5791</v>
      </c>
      <c r="V100" s="59" t="s">
        <v>4420</v>
      </c>
      <c r="W100" s="59" t="s">
        <v>5791</v>
      </c>
      <c r="X100" s="310" t="s">
        <v>4420</v>
      </c>
      <c r="Y100" s="310" t="s">
        <v>5791</v>
      </c>
      <c r="Z100" s="310" t="s">
        <v>4558</v>
      </c>
      <c r="AA100" s="18">
        <v>6</v>
      </c>
      <c r="AB100" s="224">
        <v>0</v>
      </c>
      <c r="AC100" s="140" t="s">
        <v>5791</v>
      </c>
      <c r="AD100" s="191" t="s">
        <v>5791</v>
      </c>
      <c r="AE100" s="192" t="s">
        <v>5791</v>
      </c>
      <c r="AF100" s="192" t="s">
        <v>5791</v>
      </c>
      <c r="AG100" s="193" t="s">
        <v>5791</v>
      </c>
      <c r="AH100" s="193" t="s">
        <v>5791</v>
      </c>
      <c r="AI100" s="193" t="s">
        <v>5791</v>
      </c>
      <c r="AJ100" s="301" t="s">
        <v>4809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10">
        <v>0</v>
      </c>
      <c r="AV100" s="310">
        <v>0</v>
      </c>
      <c r="AW100" s="301" t="s">
        <v>5806</v>
      </c>
      <c r="AX100" s="310" t="s">
        <v>6129</v>
      </c>
      <c r="AY100" s="310" t="s">
        <v>6129</v>
      </c>
      <c r="AZ100" s="21">
        <f t="shared" si="26"/>
        <v>19.049999999999997</v>
      </c>
      <c r="BA100" s="310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10" t="s">
        <v>4420</v>
      </c>
      <c r="BH100" s="310" t="s">
        <v>4465</v>
      </c>
      <c r="BI100" s="310" t="s">
        <v>6204</v>
      </c>
      <c r="BJ100" s="310">
        <v>4</v>
      </c>
      <c r="BK100" s="310">
        <v>6</v>
      </c>
      <c r="BL100" s="196" t="s">
        <v>5791</v>
      </c>
      <c r="BM100" s="197" t="s">
        <v>5791</v>
      </c>
      <c r="BN100" s="197" t="s">
        <v>5791</v>
      </c>
      <c r="BO100" s="197" t="s">
        <v>5791</v>
      </c>
      <c r="BP100" s="197" t="s">
        <v>5791</v>
      </c>
      <c r="BQ100" s="197" t="s">
        <v>5791</v>
      </c>
      <c r="BR100" s="197" t="s">
        <v>5791</v>
      </c>
      <c r="BS100" s="197" t="s">
        <v>5791</v>
      </c>
      <c r="BT100" s="196" t="s">
        <v>5791</v>
      </c>
      <c r="BU100" s="197" t="s">
        <v>5791</v>
      </c>
      <c r="BV100" s="197" t="s">
        <v>5791</v>
      </c>
      <c r="BW100" s="197" t="s">
        <v>5791</v>
      </c>
      <c r="BX100" s="197" t="s">
        <v>5791</v>
      </c>
      <c r="BY100" s="197" t="s">
        <v>5791</v>
      </c>
      <c r="BZ100" s="212" t="s">
        <v>5791</v>
      </c>
      <c r="CA100" s="197" t="s">
        <v>5791</v>
      </c>
      <c r="CB100" s="197" t="s">
        <v>5791</v>
      </c>
      <c r="CC100" s="197" t="s">
        <v>5791</v>
      </c>
      <c r="CD100" s="197" t="s">
        <v>5791</v>
      </c>
      <c r="CE100" s="197" t="s">
        <v>5791</v>
      </c>
      <c r="CF100" s="212" t="s">
        <v>5791</v>
      </c>
      <c r="CG100" s="197" t="s">
        <v>5791</v>
      </c>
      <c r="CH100" s="197" t="s">
        <v>5791</v>
      </c>
      <c r="CI100" s="197" t="s">
        <v>5791</v>
      </c>
      <c r="CJ100" s="197" t="s">
        <v>5791</v>
      </c>
      <c r="CK100" s="197" t="s">
        <v>5791</v>
      </c>
      <c r="CL100" s="203" t="s">
        <v>5791</v>
      </c>
      <c r="CM100" s="301" t="s">
        <v>4535</v>
      </c>
      <c r="CN100" s="310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10" t="s">
        <v>4535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5791</v>
      </c>
      <c r="CZ100" s="202" t="s">
        <v>5791</v>
      </c>
      <c r="DA100" s="202" t="s">
        <v>5791</v>
      </c>
      <c r="DB100" s="203" t="s">
        <v>5791</v>
      </c>
      <c r="DC100" s="201" t="s">
        <v>5791</v>
      </c>
      <c r="DD100" s="202" t="s">
        <v>5791</v>
      </c>
      <c r="DE100" s="203" t="s">
        <v>5791</v>
      </c>
      <c r="DF100" s="274" t="s">
        <v>5791</v>
      </c>
      <c r="DG100" s="310" t="s">
        <v>4422</v>
      </c>
      <c r="DH100" s="310">
        <v>640</v>
      </c>
      <c r="DI100" s="32">
        <v>730</v>
      </c>
      <c r="DJ100" s="310">
        <v>800</v>
      </c>
      <c r="DK100" s="32">
        <v>940</v>
      </c>
      <c r="DL100" s="60">
        <v>200000</v>
      </c>
      <c r="DM100" s="151" t="s">
        <v>5835</v>
      </c>
      <c r="DN100" s="310" t="s">
        <v>4435</v>
      </c>
      <c r="DO100" s="306" t="s">
        <v>4565</v>
      </c>
    </row>
    <row r="101" spans="1:119" ht="15.6" customHeight="1">
      <c r="A101" s="17">
        <v>96</v>
      </c>
      <c r="B101" s="348">
        <v>10</v>
      </c>
      <c r="C101" s="348">
        <v>1985</v>
      </c>
      <c r="D101" s="359" t="s">
        <v>4531</v>
      </c>
      <c r="E101" s="359" t="s">
        <v>4868</v>
      </c>
      <c r="F101" s="348">
        <v>8</v>
      </c>
      <c r="G101" s="348" t="s">
        <v>5904</v>
      </c>
      <c r="H101" s="348" t="s">
        <v>5903</v>
      </c>
      <c r="I101" s="348" t="s">
        <v>6222</v>
      </c>
      <c r="J101" s="284" t="s">
        <v>4543</v>
      </c>
      <c r="K101" s="300" t="s">
        <v>4383</v>
      </c>
      <c r="L101" s="309" t="s">
        <v>5791</v>
      </c>
      <c r="M101" s="300" t="s">
        <v>4551</v>
      </c>
      <c r="N101" s="309" t="s">
        <v>4706</v>
      </c>
      <c r="O101" s="17" t="s">
        <v>4506</v>
      </c>
      <c r="P101" s="309" t="s">
        <v>4420</v>
      </c>
      <c r="Q101" s="309" t="s">
        <v>4420</v>
      </c>
      <c r="R101" s="309" t="s">
        <v>4420</v>
      </c>
      <c r="S101" s="309" t="s">
        <v>5791</v>
      </c>
      <c r="T101" s="64" t="s">
        <v>4420</v>
      </c>
      <c r="U101" s="64" t="s">
        <v>5791</v>
      </c>
      <c r="V101" s="64" t="s">
        <v>4420</v>
      </c>
      <c r="W101" s="64" t="s">
        <v>5791</v>
      </c>
      <c r="X101" s="309" t="s">
        <v>4420</v>
      </c>
      <c r="Y101" s="309" t="s">
        <v>5791</v>
      </c>
      <c r="Z101" s="309" t="s">
        <v>4558</v>
      </c>
      <c r="AA101" s="17">
        <v>6</v>
      </c>
      <c r="AB101" s="225">
        <v>0</v>
      </c>
      <c r="AC101" s="152" t="s">
        <v>5791</v>
      </c>
      <c r="AD101" s="194" t="s">
        <v>5791</v>
      </c>
      <c r="AE101" s="195" t="s">
        <v>5791</v>
      </c>
      <c r="AF101" s="195" t="s">
        <v>5791</v>
      </c>
      <c r="AG101" s="195" t="s">
        <v>5791</v>
      </c>
      <c r="AH101" s="195" t="s">
        <v>5791</v>
      </c>
      <c r="AI101" s="195" t="s">
        <v>5791</v>
      </c>
      <c r="AJ101" s="300" t="s">
        <v>4809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9">
        <v>0</v>
      </c>
      <c r="AV101" s="309">
        <v>0</v>
      </c>
      <c r="AW101" s="300" t="s">
        <v>5806</v>
      </c>
      <c r="AX101" s="309" t="s">
        <v>6129</v>
      </c>
      <c r="AY101" s="309" t="s">
        <v>6129</v>
      </c>
      <c r="AZ101" s="16">
        <f t="shared" si="26"/>
        <v>19.049999999999997</v>
      </c>
      <c r="BA101" s="309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9" t="s">
        <v>4420</v>
      </c>
      <c r="BH101" s="309" t="s">
        <v>4465</v>
      </c>
      <c r="BI101" s="309" t="s">
        <v>6204</v>
      </c>
      <c r="BJ101" s="309">
        <v>4</v>
      </c>
      <c r="BK101" s="309">
        <v>6</v>
      </c>
      <c r="BL101" s="194" t="s">
        <v>5791</v>
      </c>
      <c r="BM101" s="195" t="s">
        <v>5791</v>
      </c>
      <c r="BN101" s="195" t="s">
        <v>5791</v>
      </c>
      <c r="BO101" s="195" t="s">
        <v>5791</v>
      </c>
      <c r="BP101" s="195" t="s">
        <v>5791</v>
      </c>
      <c r="BQ101" s="195" t="s">
        <v>5791</v>
      </c>
      <c r="BR101" s="195" t="s">
        <v>5791</v>
      </c>
      <c r="BS101" s="195" t="s">
        <v>5791</v>
      </c>
      <c r="BT101" s="194" t="s">
        <v>5791</v>
      </c>
      <c r="BU101" s="195" t="s">
        <v>5791</v>
      </c>
      <c r="BV101" s="195" t="s">
        <v>5791</v>
      </c>
      <c r="BW101" s="195" t="s">
        <v>5791</v>
      </c>
      <c r="BX101" s="195" t="s">
        <v>5791</v>
      </c>
      <c r="BY101" s="195" t="s">
        <v>5791</v>
      </c>
      <c r="BZ101" s="213" t="s">
        <v>5791</v>
      </c>
      <c r="CA101" s="195" t="s">
        <v>5791</v>
      </c>
      <c r="CB101" s="195" t="s">
        <v>5791</v>
      </c>
      <c r="CC101" s="195" t="s">
        <v>5791</v>
      </c>
      <c r="CD101" s="195" t="s">
        <v>5791</v>
      </c>
      <c r="CE101" s="195" t="s">
        <v>5791</v>
      </c>
      <c r="CF101" s="213" t="s">
        <v>5791</v>
      </c>
      <c r="CG101" s="195" t="s">
        <v>5791</v>
      </c>
      <c r="CH101" s="195" t="s">
        <v>5791</v>
      </c>
      <c r="CI101" s="195" t="s">
        <v>5791</v>
      </c>
      <c r="CJ101" s="195" t="s">
        <v>5791</v>
      </c>
      <c r="CK101" s="195" t="s">
        <v>5791</v>
      </c>
      <c r="CL101" s="200" t="s">
        <v>5791</v>
      </c>
      <c r="CM101" s="300" t="s">
        <v>4535</v>
      </c>
      <c r="CN101" s="309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9" t="s">
        <v>4535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5791</v>
      </c>
      <c r="CZ101" s="199" t="s">
        <v>5791</v>
      </c>
      <c r="DA101" s="199" t="s">
        <v>5791</v>
      </c>
      <c r="DB101" s="200" t="s">
        <v>5791</v>
      </c>
      <c r="DC101" s="198" t="s">
        <v>5791</v>
      </c>
      <c r="DD101" s="199" t="s">
        <v>5791</v>
      </c>
      <c r="DE101" s="200" t="s">
        <v>5791</v>
      </c>
      <c r="DF101" s="273" t="s">
        <v>5791</v>
      </c>
      <c r="DG101" s="309" t="s">
        <v>4422</v>
      </c>
      <c r="DH101" s="309">
        <v>640</v>
      </c>
      <c r="DI101" s="30">
        <v>730</v>
      </c>
      <c r="DJ101" s="309">
        <v>800</v>
      </c>
      <c r="DK101" s="30">
        <v>940</v>
      </c>
      <c r="DL101" s="75">
        <v>200000</v>
      </c>
      <c r="DM101" s="149" t="s">
        <v>5835</v>
      </c>
      <c r="DN101" s="309" t="s">
        <v>4435</v>
      </c>
      <c r="DO101" s="305" t="s">
        <v>4565</v>
      </c>
    </row>
    <row r="102" spans="1:119">
      <c r="A102" s="18">
        <v>97</v>
      </c>
      <c r="B102" s="349"/>
      <c r="C102" s="349"/>
      <c r="D102" s="360"/>
      <c r="E102" s="360"/>
      <c r="F102" s="349"/>
      <c r="G102" s="349"/>
      <c r="H102" s="349"/>
      <c r="I102" s="349"/>
      <c r="J102" s="286" t="s">
        <v>4544</v>
      </c>
      <c r="K102" s="301" t="s">
        <v>4383</v>
      </c>
      <c r="L102" s="310" t="s">
        <v>5791</v>
      </c>
      <c r="M102" s="301" t="s">
        <v>4551</v>
      </c>
      <c r="N102" s="310" t="s">
        <v>4706</v>
      </c>
      <c r="O102" s="18" t="s">
        <v>4506</v>
      </c>
      <c r="P102" s="310" t="s">
        <v>4420</v>
      </c>
      <c r="Q102" s="310" t="s">
        <v>4420</v>
      </c>
      <c r="R102" s="310" t="s">
        <v>4420</v>
      </c>
      <c r="S102" s="310" t="s">
        <v>5791</v>
      </c>
      <c r="T102" s="59" t="s">
        <v>4420</v>
      </c>
      <c r="U102" s="59" t="s">
        <v>5791</v>
      </c>
      <c r="V102" s="59" t="s">
        <v>4420</v>
      </c>
      <c r="W102" s="59" t="s">
        <v>5791</v>
      </c>
      <c r="X102" s="310" t="s">
        <v>4420</v>
      </c>
      <c r="Y102" s="310" t="s">
        <v>5791</v>
      </c>
      <c r="Z102" s="310" t="s">
        <v>4558</v>
      </c>
      <c r="AA102" s="18">
        <v>6</v>
      </c>
      <c r="AB102" s="224">
        <v>0</v>
      </c>
      <c r="AC102" s="140" t="s">
        <v>5791</v>
      </c>
      <c r="AD102" s="196" t="s">
        <v>5791</v>
      </c>
      <c r="AE102" s="197" t="s">
        <v>5791</v>
      </c>
      <c r="AF102" s="197" t="s">
        <v>5791</v>
      </c>
      <c r="AG102" s="197" t="s">
        <v>5791</v>
      </c>
      <c r="AH102" s="197" t="s">
        <v>5791</v>
      </c>
      <c r="AI102" s="197" t="s">
        <v>5791</v>
      </c>
      <c r="AJ102" s="301" t="s">
        <v>4809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10">
        <v>0</v>
      </c>
      <c r="AV102" s="310">
        <v>0</v>
      </c>
      <c r="AW102" s="301" t="s">
        <v>5806</v>
      </c>
      <c r="AX102" s="310" t="s">
        <v>6129</v>
      </c>
      <c r="AY102" s="310" t="s">
        <v>6129</v>
      </c>
      <c r="AZ102" s="21">
        <f t="shared" si="26"/>
        <v>19.049999999999997</v>
      </c>
      <c r="BA102" s="310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10" t="s">
        <v>4420</v>
      </c>
      <c r="BH102" s="310" t="s">
        <v>4465</v>
      </c>
      <c r="BI102" s="310" t="s">
        <v>6204</v>
      </c>
      <c r="BJ102" s="310">
        <v>4</v>
      </c>
      <c r="BK102" s="310">
        <v>6</v>
      </c>
      <c r="BL102" s="196" t="s">
        <v>5791</v>
      </c>
      <c r="BM102" s="197" t="s">
        <v>5791</v>
      </c>
      <c r="BN102" s="197" t="s">
        <v>5791</v>
      </c>
      <c r="BO102" s="197" t="s">
        <v>5791</v>
      </c>
      <c r="BP102" s="197" t="s">
        <v>5791</v>
      </c>
      <c r="BQ102" s="197" t="s">
        <v>5791</v>
      </c>
      <c r="BR102" s="197" t="s">
        <v>5791</v>
      </c>
      <c r="BS102" s="197" t="s">
        <v>5791</v>
      </c>
      <c r="BT102" s="196" t="s">
        <v>5791</v>
      </c>
      <c r="BU102" s="197" t="s">
        <v>5791</v>
      </c>
      <c r="BV102" s="197" t="s">
        <v>5791</v>
      </c>
      <c r="BW102" s="197" t="s">
        <v>5791</v>
      </c>
      <c r="BX102" s="197" t="s">
        <v>5791</v>
      </c>
      <c r="BY102" s="197" t="s">
        <v>5791</v>
      </c>
      <c r="BZ102" s="212" t="s">
        <v>5791</v>
      </c>
      <c r="CA102" s="197" t="s">
        <v>5791</v>
      </c>
      <c r="CB102" s="197" t="s">
        <v>5791</v>
      </c>
      <c r="CC102" s="197" t="s">
        <v>5791</v>
      </c>
      <c r="CD102" s="197" t="s">
        <v>5791</v>
      </c>
      <c r="CE102" s="197" t="s">
        <v>5791</v>
      </c>
      <c r="CF102" s="212" t="s">
        <v>5791</v>
      </c>
      <c r="CG102" s="197" t="s">
        <v>5791</v>
      </c>
      <c r="CH102" s="197" t="s">
        <v>5791</v>
      </c>
      <c r="CI102" s="197" t="s">
        <v>5791</v>
      </c>
      <c r="CJ102" s="197" t="s">
        <v>5791</v>
      </c>
      <c r="CK102" s="197" t="s">
        <v>5791</v>
      </c>
      <c r="CL102" s="203" t="s">
        <v>5791</v>
      </c>
      <c r="CM102" s="301" t="s">
        <v>4535</v>
      </c>
      <c r="CN102" s="310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10" t="s">
        <v>4535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5791</v>
      </c>
      <c r="CZ102" s="202" t="s">
        <v>5791</v>
      </c>
      <c r="DA102" s="202" t="s">
        <v>5791</v>
      </c>
      <c r="DB102" s="203" t="s">
        <v>5791</v>
      </c>
      <c r="DC102" s="201" t="s">
        <v>5791</v>
      </c>
      <c r="DD102" s="202" t="s">
        <v>5791</v>
      </c>
      <c r="DE102" s="203" t="s">
        <v>5791</v>
      </c>
      <c r="DF102" s="274" t="s">
        <v>5791</v>
      </c>
      <c r="DG102" s="310" t="s">
        <v>4422</v>
      </c>
      <c r="DH102" s="310">
        <v>640</v>
      </c>
      <c r="DI102" s="32">
        <v>730</v>
      </c>
      <c r="DJ102" s="310">
        <v>800</v>
      </c>
      <c r="DK102" s="32">
        <v>940</v>
      </c>
      <c r="DL102" s="60">
        <v>200000</v>
      </c>
      <c r="DM102" s="150" t="s">
        <v>5835</v>
      </c>
      <c r="DN102" s="310" t="s">
        <v>4435</v>
      </c>
      <c r="DO102" s="306" t="s">
        <v>4565</v>
      </c>
    </row>
    <row r="103" spans="1:119">
      <c r="A103" s="18">
        <v>98</v>
      </c>
      <c r="B103" s="349"/>
      <c r="C103" s="349"/>
      <c r="D103" s="360"/>
      <c r="E103" s="360"/>
      <c r="F103" s="349"/>
      <c r="G103" s="349"/>
      <c r="H103" s="349"/>
      <c r="I103" s="349"/>
      <c r="J103" s="286" t="s">
        <v>4545</v>
      </c>
      <c r="K103" s="301" t="s">
        <v>4383</v>
      </c>
      <c r="L103" s="310" t="s">
        <v>5791</v>
      </c>
      <c r="M103" s="301" t="s">
        <v>4551</v>
      </c>
      <c r="N103" s="310" t="s">
        <v>4706</v>
      </c>
      <c r="O103" s="18" t="s">
        <v>4506</v>
      </c>
      <c r="P103" s="310" t="s">
        <v>4420</v>
      </c>
      <c r="Q103" s="310" t="s">
        <v>4420</v>
      </c>
      <c r="R103" s="310" t="s">
        <v>4420</v>
      </c>
      <c r="S103" s="310" t="s">
        <v>5791</v>
      </c>
      <c r="T103" s="59" t="s">
        <v>4420</v>
      </c>
      <c r="U103" s="59" t="s">
        <v>5791</v>
      </c>
      <c r="V103" s="59" t="s">
        <v>4420</v>
      </c>
      <c r="W103" s="59" t="s">
        <v>5791</v>
      </c>
      <c r="X103" s="310" t="s">
        <v>4420</v>
      </c>
      <c r="Y103" s="310" t="s">
        <v>5791</v>
      </c>
      <c r="Z103" s="310" t="s">
        <v>4558</v>
      </c>
      <c r="AA103" s="18">
        <v>6</v>
      </c>
      <c r="AB103" s="224">
        <v>0</v>
      </c>
      <c r="AC103" s="140" t="s">
        <v>5791</v>
      </c>
      <c r="AD103" s="196" t="s">
        <v>5791</v>
      </c>
      <c r="AE103" s="197" t="s">
        <v>5791</v>
      </c>
      <c r="AF103" s="197" t="s">
        <v>5791</v>
      </c>
      <c r="AG103" s="197" t="s">
        <v>5791</v>
      </c>
      <c r="AH103" s="197" t="s">
        <v>5791</v>
      </c>
      <c r="AI103" s="197" t="s">
        <v>5791</v>
      </c>
      <c r="AJ103" s="301" t="s">
        <v>4810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10">
        <v>0</v>
      </c>
      <c r="AV103" s="310">
        <v>0</v>
      </c>
      <c r="AW103" s="301" t="s">
        <v>5806</v>
      </c>
      <c r="AX103" s="310" t="s">
        <v>6129</v>
      </c>
      <c r="AY103" s="310" t="s">
        <v>6129</v>
      </c>
      <c r="AZ103" s="21">
        <f t="shared" si="26"/>
        <v>19.049999999999997</v>
      </c>
      <c r="BA103" s="310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10" t="s">
        <v>4420</v>
      </c>
      <c r="BH103" s="310" t="s">
        <v>4465</v>
      </c>
      <c r="BI103" s="310" t="s">
        <v>6204</v>
      </c>
      <c r="BJ103" s="310">
        <v>4</v>
      </c>
      <c r="BK103" s="310">
        <v>6</v>
      </c>
      <c r="BL103" s="196" t="s">
        <v>5791</v>
      </c>
      <c r="BM103" s="197" t="s">
        <v>5791</v>
      </c>
      <c r="BN103" s="197" t="s">
        <v>5791</v>
      </c>
      <c r="BO103" s="197" t="s">
        <v>5791</v>
      </c>
      <c r="BP103" s="197" t="s">
        <v>5791</v>
      </c>
      <c r="BQ103" s="197" t="s">
        <v>5791</v>
      </c>
      <c r="BR103" s="197" t="s">
        <v>5791</v>
      </c>
      <c r="BS103" s="197" t="s">
        <v>5791</v>
      </c>
      <c r="BT103" s="196" t="s">
        <v>5791</v>
      </c>
      <c r="BU103" s="197" t="s">
        <v>5791</v>
      </c>
      <c r="BV103" s="197" t="s">
        <v>5791</v>
      </c>
      <c r="BW103" s="197" t="s">
        <v>5791</v>
      </c>
      <c r="BX103" s="197" t="s">
        <v>5791</v>
      </c>
      <c r="BY103" s="197" t="s">
        <v>5791</v>
      </c>
      <c r="BZ103" s="212" t="s">
        <v>5791</v>
      </c>
      <c r="CA103" s="197" t="s">
        <v>5791</v>
      </c>
      <c r="CB103" s="197" t="s">
        <v>5791</v>
      </c>
      <c r="CC103" s="197" t="s">
        <v>5791</v>
      </c>
      <c r="CD103" s="197" t="s">
        <v>5791</v>
      </c>
      <c r="CE103" s="197" t="s">
        <v>5791</v>
      </c>
      <c r="CF103" s="212" t="s">
        <v>5791</v>
      </c>
      <c r="CG103" s="197" t="s">
        <v>5791</v>
      </c>
      <c r="CH103" s="197" t="s">
        <v>5791</v>
      </c>
      <c r="CI103" s="197" t="s">
        <v>5791</v>
      </c>
      <c r="CJ103" s="197" t="s">
        <v>5791</v>
      </c>
      <c r="CK103" s="197" t="s">
        <v>5791</v>
      </c>
      <c r="CL103" s="203" t="s">
        <v>5791</v>
      </c>
      <c r="CM103" s="301" t="s">
        <v>4535</v>
      </c>
      <c r="CN103" s="310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10" t="s">
        <v>4535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5791</v>
      </c>
      <c r="CZ103" s="202" t="s">
        <v>5791</v>
      </c>
      <c r="DA103" s="202" t="s">
        <v>5791</v>
      </c>
      <c r="DB103" s="203" t="s">
        <v>5791</v>
      </c>
      <c r="DC103" s="201" t="s">
        <v>5791</v>
      </c>
      <c r="DD103" s="202" t="s">
        <v>5791</v>
      </c>
      <c r="DE103" s="203" t="s">
        <v>5791</v>
      </c>
      <c r="DF103" s="274" t="s">
        <v>5791</v>
      </c>
      <c r="DG103" s="310" t="s">
        <v>4422</v>
      </c>
      <c r="DH103" s="310">
        <v>640</v>
      </c>
      <c r="DI103" s="32">
        <v>730</v>
      </c>
      <c r="DJ103" s="310">
        <v>800</v>
      </c>
      <c r="DK103" s="32">
        <v>940</v>
      </c>
      <c r="DL103" s="60">
        <v>200000</v>
      </c>
      <c r="DM103" s="150" t="s">
        <v>5835</v>
      </c>
      <c r="DN103" s="310" t="s">
        <v>4435</v>
      </c>
      <c r="DO103" s="306" t="s">
        <v>4565</v>
      </c>
    </row>
    <row r="104" spans="1:119">
      <c r="A104" s="18">
        <v>99</v>
      </c>
      <c r="B104" s="349"/>
      <c r="C104" s="349"/>
      <c r="D104" s="360"/>
      <c r="E104" s="360"/>
      <c r="F104" s="349"/>
      <c r="G104" s="349"/>
      <c r="H104" s="349"/>
      <c r="I104" s="349"/>
      <c r="J104" s="286" t="s">
        <v>4546</v>
      </c>
      <c r="K104" s="301" t="s">
        <v>4383</v>
      </c>
      <c r="L104" s="310" t="s">
        <v>5791</v>
      </c>
      <c r="M104" s="301" t="s">
        <v>4551</v>
      </c>
      <c r="N104" s="310" t="s">
        <v>4706</v>
      </c>
      <c r="O104" s="18" t="s">
        <v>4506</v>
      </c>
      <c r="P104" s="310" t="s">
        <v>4420</v>
      </c>
      <c r="Q104" s="310" t="s">
        <v>4420</v>
      </c>
      <c r="R104" s="310" t="s">
        <v>4420</v>
      </c>
      <c r="S104" s="310" t="s">
        <v>5791</v>
      </c>
      <c r="T104" s="59" t="s">
        <v>4420</v>
      </c>
      <c r="U104" s="59" t="s">
        <v>5791</v>
      </c>
      <c r="V104" s="59" t="s">
        <v>4420</v>
      </c>
      <c r="W104" s="59" t="s">
        <v>5791</v>
      </c>
      <c r="X104" s="310" t="s">
        <v>4420</v>
      </c>
      <c r="Y104" s="310" t="s">
        <v>5791</v>
      </c>
      <c r="Z104" s="310" t="s">
        <v>4558</v>
      </c>
      <c r="AA104" s="18">
        <v>6</v>
      </c>
      <c r="AB104" s="224">
        <v>0</v>
      </c>
      <c r="AC104" s="140" t="s">
        <v>5791</v>
      </c>
      <c r="AD104" s="196" t="s">
        <v>5791</v>
      </c>
      <c r="AE104" s="197" t="s">
        <v>5791</v>
      </c>
      <c r="AF104" s="197" t="s">
        <v>5791</v>
      </c>
      <c r="AG104" s="197" t="s">
        <v>5791</v>
      </c>
      <c r="AH104" s="197" t="s">
        <v>5791</v>
      </c>
      <c r="AI104" s="197" t="s">
        <v>5791</v>
      </c>
      <c r="AJ104" s="301" t="s">
        <v>4810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10">
        <v>0</v>
      </c>
      <c r="AV104" s="310">
        <v>0</v>
      </c>
      <c r="AW104" s="301" t="s">
        <v>5806</v>
      </c>
      <c r="AX104" s="310" t="s">
        <v>6129</v>
      </c>
      <c r="AY104" s="310" t="s">
        <v>6129</v>
      </c>
      <c r="AZ104" s="21">
        <f t="shared" si="26"/>
        <v>19.049999999999997</v>
      </c>
      <c r="BA104" s="310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10" t="s">
        <v>4420</v>
      </c>
      <c r="BH104" s="310" t="s">
        <v>4465</v>
      </c>
      <c r="BI104" s="310" t="s">
        <v>6204</v>
      </c>
      <c r="BJ104" s="310">
        <v>4</v>
      </c>
      <c r="BK104" s="310">
        <v>6</v>
      </c>
      <c r="BL104" s="196" t="s">
        <v>5791</v>
      </c>
      <c r="BM104" s="197" t="s">
        <v>5791</v>
      </c>
      <c r="BN104" s="197" t="s">
        <v>5791</v>
      </c>
      <c r="BO104" s="197" t="s">
        <v>5791</v>
      </c>
      <c r="BP104" s="197" t="s">
        <v>5791</v>
      </c>
      <c r="BQ104" s="197" t="s">
        <v>5791</v>
      </c>
      <c r="BR104" s="197" t="s">
        <v>5791</v>
      </c>
      <c r="BS104" s="197" t="s">
        <v>5791</v>
      </c>
      <c r="BT104" s="196" t="s">
        <v>5791</v>
      </c>
      <c r="BU104" s="197" t="s">
        <v>5791</v>
      </c>
      <c r="BV104" s="197" t="s">
        <v>5791</v>
      </c>
      <c r="BW104" s="197" t="s">
        <v>5791</v>
      </c>
      <c r="BX104" s="197" t="s">
        <v>5791</v>
      </c>
      <c r="BY104" s="197" t="s">
        <v>5791</v>
      </c>
      <c r="BZ104" s="212" t="s">
        <v>5791</v>
      </c>
      <c r="CA104" s="197" t="s">
        <v>5791</v>
      </c>
      <c r="CB104" s="197" t="s">
        <v>5791</v>
      </c>
      <c r="CC104" s="197" t="s">
        <v>5791</v>
      </c>
      <c r="CD104" s="197" t="s">
        <v>5791</v>
      </c>
      <c r="CE104" s="197" t="s">
        <v>5791</v>
      </c>
      <c r="CF104" s="212" t="s">
        <v>5791</v>
      </c>
      <c r="CG104" s="197" t="s">
        <v>5791</v>
      </c>
      <c r="CH104" s="197" t="s">
        <v>5791</v>
      </c>
      <c r="CI104" s="197" t="s">
        <v>5791</v>
      </c>
      <c r="CJ104" s="197" t="s">
        <v>5791</v>
      </c>
      <c r="CK104" s="197" t="s">
        <v>5791</v>
      </c>
      <c r="CL104" s="203" t="s">
        <v>5791</v>
      </c>
      <c r="CM104" s="301" t="s">
        <v>4535</v>
      </c>
      <c r="CN104" s="310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10" t="s">
        <v>4535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5791</v>
      </c>
      <c r="CZ104" s="202" t="s">
        <v>5791</v>
      </c>
      <c r="DA104" s="202" t="s">
        <v>5791</v>
      </c>
      <c r="DB104" s="203" t="s">
        <v>5791</v>
      </c>
      <c r="DC104" s="201" t="s">
        <v>5791</v>
      </c>
      <c r="DD104" s="202" t="s">
        <v>5791</v>
      </c>
      <c r="DE104" s="203" t="s">
        <v>5791</v>
      </c>
      <c r="DF104" s="274" t="s">
        <v>5791</v>
      </c>
      <c r="DG104" s="310" t="s">
        <v>4422</v>
      </c>
      <c r="DH104" s="310">
        <v>640</v>
      </c>
      <c r="DI104" s="32">
        <v>730</v>
      </c>
      <c r="DJ104" s="310">
        <v>800</v>
      </c>
      <c r="DK104" s="32">
        <v>940</v>
      </c>
      <c r="DL104" s="60">
        <v>200000</v>
      </c>
      <c r="DM104" s="150" t="s">
        <v>5835</v>
      </c>
      <c r="DN104" s="310" t="s">
        <v>4435</v>
      </c>
      <c r="DO104" s="306" t="s">
        <v>4565</v>
      </c>
    </row>
    <row r="105" spans="1:119">
      <c r="A105" s="18">
        <v>100</v>
      </c>
      <c r="B105" s="349"/>
      <c r="C105" s="349"/>
      <c r="D105" s="360"/>
      <c r="E105" s="360"/>
      <c r="F105" s="349"/>
      <c r="G105" s="349"/>
      <c r="H105" s="349"/>
      <c r="I105" s="349"/>
      <c r="J105" s="286" t="s">
        <v>4547</v>
      </c>
      <c r="K105" s="301" t="s">
        <v>4383</v>
      </c>
      <c r="L105" s="310" t="s">
        <v>5791</v>
      </c>
      <c r="M105" s="301" t="s">
        <v>4551</v>
      </c>
      <c r="N105" s="310" t="s">
        <v>4706</v>
      </c>
      <c r="O105" s="18" t="s">
        <v>4506</v>
      </c>
      <c r="P105" s="310" t="s">
        <v>4420</v>
      </c>
      <c r="Q105" s="310" t="s">
        <v>4420</v>
      </c>
      <c r="R105" s="310" t="s">
        <v>4420</v>
      </c>
      <c r="S105" s="310" t="s">
        <v>5791</v>
      </c>
      <c r="T105" s="59" t="s">
        <v>4420</v>
      </c>
      <c r="U105" s="59" t="s">
        <v>5791</v>
      </c>
      <c r="V105" s="59" t="s">
        <v>4420</v>
      </c>
      <c r="W105" s="59" t="s">
        <v>5791</v>
      </c>
      <c r="X105" s="310" t="s">
        <v>4420</v>
      </c>
      <c r="Y105" s="310" t="s">
        <v>5791</v>
      </c>
      <c r="Z105" s="310" t="s">
        <v>4558</v>
      </c>
      <c r="AA105" s="18">
        <v>6</v>
      </c>
      <c r="AB105" s="224">
        <v>0</v>
      </c>
      <c r="AC105" s="140" t="s">
        <v>5791</v>
      </c>
      <c r="AD105" s="196" t="s">
        <v>5791</v>
      </c>
      <c r="AE105" s="197" t="s">
        <v>5791</v>
      </c>
      <c r="AF105" s="197" t="s">
        <v>5791</v>
      </c>
      <c r="AG105" s="197" t="s">
        <v>5791</v>
      </c>
      <c r="AH105" s="197" t="s">
        <v>5791</v>
      </c>
      <c r="AI105" s="197" t="s">
        <v>5791</v>
      </c>
      <c r="AJ105" s="301" t="s">
        <v>4809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10">
        <v>0</v>
      </c>
      <c r="AV105" s="310">
        <v>0</v>
      </c>
      <c r="AW105" s="301" t="s">
        <v>5806</v>
      </c>
      <c r="AX105" s="310" t="s">
        <v>6129</v>
      </c>
      <c r="AY105" s="310" t="s">
        <v>6129</v>
      </c>
      <c r="AZ105" s="21">
        <f>5/8*25.4</f>
        <v>15.875</v>
      </c>
      <c r="BA105" s="310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10" t="s">
        <v>4420</v>
      </c>
      <c r="BH105" s="310" t="s">
        <v>4465</v>
      </c>
      <c r="BI105" s="310" t="s">
        <v>6204</v>
      </c>
      <c r="BJ105" s="310">
        <v>4</v>
      </c>
      <c r="BK105" s="310">
        <v>6</v>
      </c>
      <c r="BL105" s="196" t="s">
        <v>5791</v>
      </c>
      <c r="BM105" s="197" t="s">
        <v>5791</v>
      </c>
      <c r="BN105" s="197" t="s">
        <v>5791</v>
      </c>
      <c r="BO105" s="197" t="s">
        <v>5791</v>
      </c>
      <c r="BP105" s="197" t="s">
        <v>5791</v>
      </c>
      <c r="BQ105" s="197" t="s">
        <v>5791</v>
      </c>
      <c r="BR105" s="197" t="s">
        <v>5791</v>
      </c>
      <c r="BS105" s="197" t="s">
        <v>5791</v>
      </c>
      <c r="BT105" s="196" t="s">
        <v>5791</v>
      </c>
      <c r="BU105" s="197" t="s">
        <v>5791</v>
      </c>
      <c r="BV105" s="197" t="s">
        <v>5791</v>
      </c>
      <c r="BW105" s="197" t="s">
        <v>5791</v>
      </c>
      <c r="BX105" s="197" t="s">
        <v>5791</v>
      </c>
      <c r="BY105" s="197" t="s">
        <v>5791</v>
      </c>
      <c r="BZ105" s="212" t="s">
        <v>5791</v>
      </c>
      <c r="CA105" s="197" t="s">
        <v>5791</v>
      </c>
      <c r="CB105" s="197" t="s">
        <v>5791</v>
      </c>
      <c r="CC105" s="197" t="s">
        <v>5791</v>
      </c>
      <c r="CD105" s="197" t="s">
        <v>5791</v>
      </c>
      <c r="CE105" s="197" t="s">
        <v>5791</v>
      </c>
      <c r="CF105" s="212" t="s">
        <v>5791</v>
      </c>
      <c r="CG105" s="197" t="s">
        <v>5791</v>
      </c>
      <c r="CH105" s="197" t="s">
        <v>5791</v>
      </c>
      <c r="CI105" s="197" t="s">
        <v>5791</v>
      </c>
      <c r="CJ105" s="197" t="s">
        <v>5791</v>
      </c>
      <c r="CK105" s="197" t="s">
        <v>5791</v>
      </c>
      <c r="CL105" s="203" t="s">
        <v>5791</v>
      </c>
      <c r="CM105" s="301" t="s">
        <v>4535</v>
      </c>
      <c r="CN105" s="310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10" t="s">
        <v>4535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5791</v>
      </c>
      <c r="CZ105" s="202" t="s">
        <v>5791</v>
      </c>
      <c r="DA105" s="202" t="s">
        <v>5791</v>
      </c>
      <c r="DB105" s="203" t="s">
        <v>5791</v>
      </c>
      <c r="DC105" s="201" t="s">
        <v>5791</v>
      </c>
      <c r="DD105" s="202" t="s">
        <v>5791</v>
      </c>
      <c r="DE105" s="203" t="s">
        <v>5791</v>
      </c>
      <c r="DF105" s="274" t="s">
        <v>5791</v>
      </c>
      <c r="DG105" s="310" t="s">
        <v>4422</v>
      </c>
      <c r="DH105" s="310">
        <v>640</v>
      </c>
      <c r="DI105" s="32">
        <v>730</v>
      </c>
      <c r="DJ105" s="310">
        <v>800</v>
      </c>
      <c r="DK105" s="32">
        <v>940</v>
      </c>
      <c r="DL105" s="60">
        <v>200000</v>
      </c>
      <c r="DM105" s="150" t="s">
        <v>5835</v>
      </c>
      <c r="DN105" s="310" t="s">
        <v>4435</v>
      </c>
      <c r="DO105" s="306" t="s">
        <v>4565</v>
      </c>
    </row>
    <row r="106" spans="1:119">
      <c r="A106" s="18">
        <v>101</v>
      </c>
      <c r="B106" s="349"/>
      <c r="C106" s="349"/>
      <c r="D106" s="360"/>
      <c r="E106" s="360"/>
      <c r="F106" s="349"/>
      <c r="G106" s="349"/>
      <c r="H106" s="349"/>
      <c r="I106" s="349"/>
      <c r="J106" s="286" t="s">
        <v>4548</v>
      </c>
      <c r="K106" s="301" t="s">
        <v>4383</v>
      </c>
      <c r="L106" s="310" t="s">
        <v>5791</v>
      </c>
      <c r="M106" s="301" t="s">
        <v>4551</v>
      </c>
      <c r="N106" s="310" t="s">
        <v>4706</v>
      </c>
      <c r="O106" s="18" t="s">
        <v>4506</v>
      </c>
      <c r="P106" s="310" t="s">
        <v>4420</v>
      </c>
      <c r="Q106" s="310" t="s">
        <v>4420</v>
      </c>
      <c r="R106" s="310" t="s">
        <v>4420</v>
      </c>
      <c r="S106" s="310" t="s">
        <v>5791</v>
      </c>
      <c r="T106" s="59" t="s">
        <v>4420</v>
      </c>
      <c r="U106" s="59" t="s">
        <v>5791</v>
      </c>
      <c r="V106" s="59" t="s">
        <v>4420</v>
      </c>
      <c r="W106" s="59" t="s">
        <v>5791</v>
      </c>
      <c r="X106" s="310" t="s">
        <v>4420</v>
      </c>
      <c r="Y106" s="310" t="s">
        <v>5791</v>
      </c>
      <c r="Z106" s="310" t="s">
        <v>4558</v>
      </c>
      <c r="AA106" s="18">
        <v>6</v>
      </c>
      <c r="AB106" s="224">
        <v>0</v>
      </c>
      <c r="AC106" s="140" t="s">
        <v>5791</v>
      </c>
      <c r="AD106" s="196" t="s">
        <v>5791</v>
      </c>
      <c r="AE106" s="197" t="s">
        <v>5791</v>
      </c>
      <c r="AF106" s="197" t="s">
        <v>5791</v>
      </c>
      <c r="AG106" s="197" t="s">
        <v>5791</v>
      </c>
      <c r="AH106" s="197" t="s">
        <v>5791</v>
      </c>
      <c r="AI106" s="197" t="s">
        <v>5791</v>
      </c>
      <c r="AJ106" s="301" t="s">
        <v>4809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10">
        <v>0</v>
      </c>
      <c r="AV106" s="310">
        <v>0</v>
      </c>
      <c r="AW106" s="301" t="s">
        <v>5806</v>
      </c>
      <c r="AX106" s="310" t="s">
        <v>6129</v>
      </c>
      <c r="AY106" s="310" t="s">
        <v>6129</v>
      </c>
      <c r="AZ106" s="21">
        <f>5/8*25.4</f>
        <v>15.875</v>
      </c>
      <c r="BA106" s="310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10" t="s">
        <v>4420</v>
      </c>
      <c r="BH106" s="310" t="s">
        <v>4465</v>
      </c>
      <c r="BI106" s="310" t="s">
        <v>6204</v>
      </c>
      <c r="BJ106" s="310">
        <v>4</v>
      </c>
      <c r="BK106" s="310">
        <v>6</v>
      </c>
      <c r="BL106" s="196" t="s">
        <v>5791</v>
      </c>
      <c r="BM106" s="197" t="s">
        <v>5791</v>
      </c>
      <c r="BN106" s="197" t="s">
        <v>5791</v>
      </c>
      <c r="BO106" s="197" t="s">
        <v>5791</v>
      </c>
      <c r="BP106" s="197" t="s">
        <v>5791</v>
      </c>
      <c r="BQ106" s="197" t="s">
        <v>5791</v>
      </c>
      <c r="BR106" s="197" t="s">
        <v>5791</v>
      </c>
      <c r="BS106" s="197" t="s">
        <v>5791</v>
      </c>
      <c r="BT106" s="196" t="s">
        <v>5791</v>
      </c>
      <c r="BU106" s="197" t="s">
        <v>5791</v>
      </c>
      <c r="BV106" s="197" t="s">
        <v>5791</v>
      </c>
      <c r="BW106" s="197" t="s">
        <v>5791</v>
      </c>
      <c r="BX106" s="197" t="s">
        <v>5791</v>
      </c>
      <c r="BY106" s="197" t="s">
        <v>5791</v>
      </c>
      <c r="BZ106" s="212" t="s">
        <v>5791</v>
      </c>
      <c r="CA106" s="197" t="s">
        <v>5791</v>
      </c>
      <c r="CB106" s="197" t="s">
        <v>5791</v>
      </c>
      <c r="CC106" s="197" t="s">
        <v>5791</v>
      </c>
      <c r="CD106" s="197" t="s">
        <v>5791</v>
      </c>
      <c r="CE106" s="197" t="s">
        <v>5791</v>
      </c>
      <c r="CF106" s="212" t="s">
        <v>5791</v>
      </c>
      <c r="CG106" s="197" t="s">
        <v>5791</v>
      </c>
      <c r="CH106" s="197" t="s">
        <v>5791</v>
      </c>
      <c r="CI106" s="197" t="s">
        <v>5791</v>
      </c>
      <c r="CJ106" s="197" t="s">
        <v>5791</v>
      </c>
      <c r="CK106" s="197" t="s">
        <v>5791</v>
      </c>
      <c r="CL106" s="203" t="s">
        <v>5791</v>
      </c>
      <c r="CM106" s="301" t="s">
        <v>4535</v>
      </c>
      <c r="CN106" s="310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10" t="s">
        <v>4535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5791</v>
      </c>
      <c r="CZ106" s="202" t="s">
        <v>5791</v>
      </c>
      <c r="DA106" s="202" t="s">
        <v>5791</v>
      </c>
      <c r="DB106" s="203" t="s">
        <v>5791</v>
      </c>
      <c r="DC106" s="201" t="s">
        <v>5791</v>
      </c>
      <c r="DD106" s="202" t="s">
        <v>5791</v>
      </c>
      <c r="DE106" s="203" t="s">
        <v>5791</v>
      </c>
      <c r="DF106" s="274" t="s">
        <v>5791</v>
      </c>
      <c r="DG106" s="310" t="s">
        <v>4422</v>
      </c>
      <c r="DH106" s="310">
        <v>640</v>
      </c>
      <c r="DI106" s="32">
        <v>730</v>
      </c>
      <c r="DJ106" s="310">
        <v>800</v>
      </c>
      <c r="DK106" s="32">
        <v>940</v>
      </c>
      <c r="DL106" s="60">
        <v>200000</v>
      </c>
      <c r="DM106" s="150" t="s">
        <v>5835</v>
      </c>
      <c r="DN106" s="310" t="s">
        <v>4435</v>
      </c>
      <c r="DO106" s="306" t="s">
        <v>4565</v>
      </c>
    </row>
    <row r="107" spans="1:119">
      <c r="A107" s="18">
        <v>102</v>
      </c>
      <c r="B107" s="349"/>
      <c r="C107" s="349"/>
      <c r="D107" s="360"/>
      <c r="E107" s="360"/>
      <c r="F107" s="349"/>
      <c r="G107" s="349"/>
      <c r="H107" s="349"/>
      <c r="I107" s="349"/>
      <c r="J107" s="286" t="s">
        <v>4550</v>
      </c>
      <c r="K107" s="301" t="s">
        <v>4383</v>
      </c>
      <c r="L107" s="310" t="s">
        <v>5791</v>
      </c>
      <c r="M107" s="301" t="s">
        <v>4551</v>
      </c>
      <c r="N107" s="310" t="s">
        <v>4706</v>
      </c>
      <c r="O107" s="18" t="s">
        <v>4506</v>
      </c>
      <c r="P107" s="310" t="s">
        <v>4420</v>
      </c>
      <c r="Q107" s="310" t="s">
        <v>4420</v>
      </c>
      <c r="R107" s="310" t="s">
        <v>4420</v>
      </c>
      <c r="S107" s="310" t="s">
        <v>5791</v>
      </c>
      <c r="T107" s="59" t="s">
        <v>4420</v>
      </c>
      <c r="U107" s="59" t="s">
        <v>5791</v>
      </c>
      <c r="V107" s="59" t="s">
        <v>4420</v>
      </c>
      <c r="W107" s="59" t="s">
        <v>5791</v>
      </c>
      <c r="X107" s="310" t="s">
        <v>4420</v>
      </c>
      <c r="Y107" s="310" t="s">
        <v>5791</v>
      </c>
      <c r="Z107" s="310" t="s">
        <v>4558</v>
      </c>
      <c r="AA107" s="18">
        <v>6</v>
      </c>
      <c r="AB107" s="224">
        <v>0</v>
      </c>
      <c r="AC107" s="140" t="s">
        <v>5791</v>
      </c>
      <c r="AD107" s="196" t="s">
        <v>5791</v>
      </c>
      <c r="AE107" s="197" t="s">
        <v>5791</v>
      </c>
      <c r="AF107" s="197" t="s">
        <v>5791</v>
      </c>
      <c r="AG107" s="197" t="s">
        <v>5791</v>
      </c>
      <c r="AH107" s="197" t="s">
        <v>5791</v>
      </c>
      <c r="AI107" s="197" t="s">
        <v>5791</v>
      </c>
      <c r="AJ107" s="301" t="s">
        <v>4811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10">
        <v>0</v>
      </c>
      <c r="AV107" s="310">
        <v>0</v>
      </c>
      <c r="AW107" s="301" t="s">
        <v>5806</v>
      </c>
      <c r="AX107" s="310" t="s">
        <v>6129</v>
      </c>
      <c r="AY107" s="310" t="s">
        <v>6129</v>
      </c>
      <c r="AZ107" s="21">
        <f t="shared" si="26"/>
        <v>19.049999999999997</v>
      </c>
      <c r="BA107" s="310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10" t="s">
        <v>4420</v>
      </c>
      <c r="BH107" s="310" t="s">
        <v>4465</v>
      </c>
      <c r="BI107" s="310" t="s">
        <v>6204</v>
      </c>
      <c r="BJ107" s="310">
        <v>4</v>
      </c>
      <c r="BK107" s="310">
        <v>6</v>
      </c>
      <c r="BL107" s="196" t="s">
        <v>5791</v>
      </c>
      <c r="BM107" s="197" t="s">
        <v>5791</v>
      </c>
      <c r="BN107" s="197" t="s">
        <v>5791</v>
      </c>
      <c r="BO107" s="197" t="s">
        <v>5791</v>
      </c>
      <c r="BP107" s="197" t="s">
        <v>5791</v>
      </c>
      <c r="BQ107" s="197" t="s">
        <v>5791</v>
      </c>
      <c r="BR107" s="197" t="s">
        <v>5791</v>
      </c>
      <c r="BS107" s="197" t="s">
        <v>5791</v>
      </c>
      <c r="BT107" s="196" t="s">
        <v>5791</v>
      </c>
      <c r="BU107" s="197" t="s">
        <v>5791</v>
      </c>
      <c r="BV107" s="197" t="s">
        <v>5791</v>
      </c>
      <c r="BW107" s="197" t="s">
        <v>5791</v>
      </c>
      <c r="BX107" s="197" t="s">
        <v>5791</v>
      </c>
      <c r="BY107" s="197" t="s">
        <v>5791</v>
      </c>
      <c r="BZ107" s="212" t="s">
        <v>5791</v>
      </c>
      <c r="CA107" s="197" t="s">
        <v>5791</v>
      </c>
      <c r="CB107" s="197" t="s">
        <v>5791</v>
      </c>
      <c r="CC107" s="197" t="s">
        <v>5791</v>
      </c>
      <c r="CD107" s="197" t="s">
        <v>5791</v>
      </c>
      <c r="CE107" s="197" t="s">
        <v>5791</v>
      </c>
      <c r="CF107" s="212" t="s">
        <v>5791</v>
      </c>
      <c r="CG107" s="197" t="s">
        <v>5791</v>
      </c>
      <c r="CH107" s="197" t="s">
        <v>5791</v>
      </c>
      <c r="CI107" s="197" t="s">
        <v>5791</v>
      </c>
      <c r="CJ107" s="197" t="s">
        <v>5791</v>
      </c>
      <c r="CK107" s="197" t="s">
        <v>5791</v>
      </c>
      <c r="CL107" s="203" t="s">
        <v>5791</v>
      </c>
      <c r="CM107" s="301" t="s">
        <v>4535</v>
      </c>
      <c r="CN107" s="310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10" t="s">
        <v>4535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5791</v>
      </c>
      <c r="CZ107" s="202" t="s">
        <v>5791</v>
      </c>
      <c r="DA107" s="202" t="s">
        <v>5791</v>
      </c>
      <c r="DB107" s="203" t="s">
        <v>5791</v>
      </c>
      <c r="DC107" s="201" t="s">
        <v>5791</v>
      </c>
      <c r="DD107" s="202" t="s">
        <v>5791</v>
      </c>
      <c r="DE107" s="203" t="s">
        <v>5791</v>
      </c>
      <c r="DF107" s="274" t="s">
        <v>5791</v>
      </c>
      <c r="DG107" s="310" t="s">
        <v>4422</v>
      </c>
      <c r="DH107" s="310">
        <v>640</v>
      </c>
      <c r="DI107" s="32">
        <v>730</v>
      </c>
      <c r="DJ107" s="310">
        <v>800</v>
      </c>
      <c r="DK107" s="32">
        <v>940</v>
      </c>
      <c r="DL107" s="60">
        <v>200000</v>
      </c>
      <c r="DM107" s="150" t="s">
        <v>5835</v>
      </c>
      <c r="DN107" s="310" t="s">
        <v>4435</v>
      </c>
      <c r="DO107" s="306" t="s">
        <v>4565</v>
      </c>
    </row>
    <row r="108" spans="1:119" ht="16.2" thickBot="1">
      <c r="A108" s="14">
        <v>103</v>
      </c>
      <c r="B108" s="350"/>
      <c r="C108" s="350"/>
      <c r="D108" s="372"/>
      <c r="E108" s="372"/>
      <c r="F108" s="350"/>
      <c r="G108" s="350"/>
      <c r="H108" s="350"/>
      <c r="I108" s="350"/>
      <c r="J108" s="285" t="s">
        <v>4549</v>
      </c>
      <c r="K108" s="308" t="s">
        <v>4383</v>
      </c>
      <c r="L108" s="311" t="s">
        <v>5791</v>
      </c>
      <c r="M108" s="308" t="s">
        <v>4551</v>
      </c>
      <c r="N108" s="311" t="s">
        <v>4706</v>
      </c>
      <c r="O108" s="14" t="s">
        <v>4506</v>
      </c>
      <c r="P108" s="311" t="s">
        <v>4420</v>
      </c>
      <c r="Q108" s="311" t="s">
        <v>4420</v>
      </c>
      <c r="R108" s="311" t="s">
        <v>4420</v>
      </c>
      <c r="S108" s="311" t="s">
        <v>5791</v>
      </c>
      <c r="T108" s="86" t="s">
        <v>4420</v>
      </c>
      <c r="U108" s="86" t="s">
        <v>5791</v>
      </c>
      <c r="V108" s="86" t="s">
        <v>4420</v>
      </c>
      <c r="W108" s="86" t="s">
        <v>5791</v>
      </c>
      <c r="X108" s="311" t="s">
        <v>4420</v>
      </c>
      <c r="Y108" s="311" t="s">
        <v>5791</v>
      </c>
      <c r="Z108" s="311" t="s">
        <v>4558</v>
      </c>
      <c r="AA108" s="14">
        <v>6</v>
      </c>
      <c r="AB108" s="226">
        <v>0</v>
      </c>
      <c r="AC108" s="153" t="s">
        <v>5791</v>
      </c>
      <c r="AD108" s="191" t="s">
        <v>5791</v>
      </c>
      <c r="AE108" s="192" t="s">
        <v>5791</v>
      </c>
      <c r="AF108" s="192" t="s">
        <v>5791</v>
      </c>
      <c r="AG108" s="193" t="s">
        <v>5791</v>
      </c>
      <c r="AH108" s="193" t="s">
        <v>5791</v>
      </c>
      <c r="AI108" s="193" t="s">
        <v>5791</v>
      </c>
      <c r="AJ108" s="308" t="s">
        <v>4811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11">
        <v>0</v>
      </c>
      <c r="AV108" s="311">
        <v>0</v>
      </c>
      <c r="AW108" s="308" t="s">
        <v>5806</v>
      </c>
      <c r="AX108" s="311" t="s">
        <v>6129</v>
      </c>
      <c r="AY108" s="311" t="s">
        <v>6129</v>
      </c>
      <c r="AZ108" s="23">
        <f t="shared" si="26"/>
        <v>19.049999999999997</v>
      </c>
      <c r="BA108" s="311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11" t="s">
        <v>4420</v>
      </c>
      <c r="BH108" s="311" t="s">
        <v>4465</v>
      </c>
      <c r="BI108" s="311" t="s">
        <v>6204</v>
      </c>
      <c r="BJ108" s="311">
        <v>4</v>
      </c>
      <c r="BK108" s="311">
        <v>6</v>
      </c>
      <c r="BL108" s="191" t="s">
        <v>5791</v>
      </c>
      <c r="BM108" s="192" t="s">
        <v>5791</v>
      </c>
      <c r="BN108" s="192" t="s">
        <v>5791</v>
      </c>
      <c r="BO108" s="192" t="s">
        <v>5791</v>
      </c>
      <c r="BP108" s="192" t="s">
        <v>5791</v>
      </c>
      <c r="BQ108" s="192" t="s">
        <v>5791</v>
      </c>
      <c r="BR108" s="192" t="s">
        <v>5791</v>
      </c>
      <c r="BS108" s="192" t="s">
        <v>5791</v>
      </c>
      <c r="BT108" s="191" t="s">
        <v>5791</v>
      </c>
      <c r="BU108" s="192" t="s">
        <v>5791</v>
      </c>
      <c r="BV108" s="192" t="s">
        <v>5791</v>
      </c>
      <c r="BW108" s="192" t="s">
        <v>5791</v>
      </c>
      <c r="BX108" s="192" t="s">
        <v>5791</v>
      </c>
      <c r="BY108" s="192" t="s">
        <v>5791</v>
      </c>
      <c r="BZ108" s="214" t="s">
        <v>5791</v>
      </c>
      <c r="CA108" s="192" t="s">
        <v>5791</v>
      </c>
      <c r="CB108" s="192" t="s">
        <v>5791</v>
      </c>
      <c r="CC108" s="192" t="s">
        <v>5791</v>
      </c>
      <c r="CD108" s="192" t="s">
        <v>5791</v>
      </c>
      <c r="CE108" s="192" t="s">
        <v>5791</v>
      </c>
      <c r="CF108" s="214" t="s">
        <v>5791</v>
      </c>
      <c r="CG108" s="192" t="s">
        <v>5791</v>
      </c>
      <c r="CH108" s="192" t="s">
        <v>5791</v>
      </c>
      <c r="CI108" s="192" t="s">
        <v>5791</v>
      </c>
      <c r="CJ108" s="192" t="s">
        <v>5791</v>
      </c>
      <c r="CK108" s="192" t="s">
        <v>5791</v>
      </c>
      <c r="CL108" s="206" t="s">
        <v>5791</v>
      </c>
      <c r="CM108" s="308" t="s">
        <v>4535</v>
      </c>
      <c r="CN108" s="311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11" t="s">
        <v>4535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5791</v>
      </c>
      <c r="CZ108" s="205" t="s">
        <v>5791</v>
      </c>
      <c r="DA108" s="205" t="s">
        <v>5791</v>
      </c>
      <c r="DB108" s="206" t="s">
        <v>5791</v>
      </c>
      <c r="DC108" s="204" t="s">
        <v>5791</v>
      </c>
      <c r="DD108" s="205" t="s">
        <v>5791</v>
      </c>
      <c r="DE108" s="206" t="s">
        <v>5791</v>
      </c>
      <c r="DF108" s="275" t="s">
        <v>5791</v>
      </c>
      <c r="DG108" s="311" t="s">
        <v>4422</v>
      </c>
      <c r="DH108" s="311">
        <v>640</v>
      </c>
      <c r="DI108" s="34">
        <v>730</v>
      </c>
      <c r="DJ108" s="311">
        <v>800</v>
      </c>
      <c r="DK108" s="34">
        <v>940</v>
      </c>
      <c r="DL108" s="76">
        <v>200000</v>
      </c>
      <c r="DM108" s="151" t="s">
        <v>5835</v>
      </c>
      <c r="DN108" s="311" t="s">
        <v>4435</v>
      </c>
      <c r="DO108" s="306" t="s">
        <v>4565</v>
      </c>
    </row>
    <row r="109" spans="1:119" ht="15.6" customHeight="1">
      <c r="A109" s="18">
        <v>104</v>
      </c>
      <c r="B109" s="349">
        <v>11</v>
      </c>
      <c r="C109" s="349">
        <v>1985</v>
      </c>
      <c r="D109" s="360" t="s">
        <v>4512</v>
      </c>
      <c r="E109" s="360" t="s">
        <v>4867</v>
      </c>
      <c r="F109" s="349">
        <v>6</v>
      </c>
      <c r="G109" s="349" t="s">
        <v>5905</v>
      </c>
      <c r="H109" s="349" t="s">
        <v>5901</v>
      </c>
      <c r="I109" s="349" t="s">
        <v>6219</v>
      </c>
      <c r="J109" s="286" t="s">
        <v>4511</v>
      </c>
      <c r="K109" s="301" t="s">
        <v>4383</v>
      </c>
      <c r="L109" s="310" t="s">
        <v>5791</v>
      </c>
      <c r="M109" s="300" t="s">
        <v>4507</v>
      </c>
      <c r="N109" s="309" t="s">
        <v>4750</v>
      </c>
      <c r="O109" s="18" t="s">
        <v>4506</v>
      </c>
      <c r="P109" s="310" t="s">
        <v>4420</v>
      </c>
      <c r="Q109" s="310" t="s">
        <v>4420</v>
      </c>
      <c r="R109" s="310" t="s">
        <v>6164</v>
      </c>
      <c r="S109" s="310">
        <v>10</v>
      </c>
      <c r="T109" s="59" t="s">
        <v>4420</v>
      </c>
      <c r="U109" s="59" t="s">
        <v>5791</v>
      </c>
      <c r="V109" s="59" t="s">
        <v>4420</v>
      </c>
      <c r="W109" s="59" t="s">
        <v>5791</v>
      </c>
      <c r="X109" s="310" t="s">
        <v>4420</v>
      </c>
      <c r="Y109" s="310" t="s">
        <v>5791</v>
      </c>
      <c r="Z109" s="310" t="s">
        <v>4558</v>
      </c>
      <c r="AA109" s="18">
        <v>10</v>
      </c>
      <c r="AB109" s="224">
        <v>0</v>
      </c>
      <c r="AC109" s="140">
        <v>0</v>
      </c>
      <c r="AD109" s="301" t="s">
        <v>4348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1" t="s">
        <v>4217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1" t="s">
        <v>5806</v>
      </c>
      <c r="AX109" s="59" t="s">
        <v>6129</v>
      </c>
      <c r="AY109" s="310">
        <v>25</v>
      </c>
      <c r="AZ109" s="310">
        <v>20</v>
      </c>
      <c r="BA109" s="310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4470</v>
      </c>
      <c r="BH109" s="310" t="s">
        <v>6204</v>
      </c>
      <c r="BI109" s="310" t="s">
        <v>6204</v>
      </c>
      <c r="BJ109" s="310">
        <v>2</v>
      </c>
      <c r="BK109" s="310">
        <v>4</v>
      </c>
      <c r="BL109" s="196" t="s">
        <v>5791</v>
      </c>
      <c r="BM109" s="197" t="s">
        <v>5791</v>
      </c>
      <c r="BN109" s="197" t="s">
        <v>5791</v>
      </c>
      <c r="BO109" s="197" t="s">
        <v>5791</v>
      </c>
      <c r="BP109" s="197" t="s">
        <v>5791</v>
      </c>
      <c r="BQ109" s="197" t="s">
        <v>5791</v>
      </c>
      <c r="BR109" s="197" t="s">
        <v>5791</v>
      </c>
      <c r="BS109" s="197" t="s">
        <v>5791</v>
      </c>
      <c r="BT109" s="196" t="s">
        <v>5791</v>
      </c>
      <c r="BU109" s="197" t="s">
        <v>5791</v>
      </c>
      <c r="BV109" s="197" t="s">
        <v>5791</v>
      </c>
      <c r="BW109" s="197" t="s">
        <v>5791</v>
      </c>
      <c r="BX109" s="197" t="s">
        <v>5791</v>
      </c>
      <c r="BY109" s="197" t="s">
        <v>5791</v>
      </c>
      <c r="BZ109" s="212" t="s">
        <v>5791</v>
      </c>
      <c r="CA109" s="197" t="s">
        <v>5791</v>
      </c>
      <c r="CB109" s="197" t="s">
        <v>5791</v>
      </c>
      <c r="CC109" s="197" t="s">
        <v>5791</v>
      </c>
      <c r="CD109" s="197" t="s">
        <v>5791</v>
      </c>
      <c r="CE109" s="197" t="s">
        <v>5791</v>
      </c>
      <c r="CF109" s="212" t="s">
        <v>5791</v>
      </c>
      <c r="CG109" s="32" t="s">
        <v>4449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4449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4449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5791</v>
      </c>
      <c r="CZ109" s="202" t="s">
        <v>5791</v>
      </c>
      <c r="DA109" s="202" t="s">
        <v>5791</v>
      </c>
      <c r="DB109" s="203" t="s">
        <v>5791</v>
      </c>
      <c r="DC109" s="201" t="s">
        <v>5791</v>
      </c>
      <c r="DD109" s="202" t="s">
        <v>5791</v>
      </c>
      <c r="DE109" s="203" t="s">
        <v>5791</v>
      </c>
      <c r="DF109" s="274" t="s">
        <v>5791</v>
      </c>
      <c r="DG109" s="310">
        <v>8.8000000000000007</v>
      </c>
      <c r="DH109" s="310">
        <v>640</v>
      </c>
      <c r="DI109" s="32">
        <v>730</v>
      </c>
      <c r="DJ109" s="310">
        <v>800</v>
      </c>
      <c r="DK109" s="32">
        <v>940</v>
      </c>
      <c r="DL109" s="60">
        <v>200000</v>
      </c>
      <c r="DM109" s="29" t="s">
        <v>5831</v>
      </c>
      <c r="DN109" s="32" t="s">
        <v>4435</v>
      </c>
      <c r="DO109" s="305" t="s">
        <v>4565</v>
      </c>
    </row>
    <row r="110" spans="1:119">
      <c r="A110" s="18">
        <v>105</v>
      </c>
      <c r="B110" s="349"/>
      <c r="C110" s="349"/>
      <c r="D110" s="360"/>
      <c r="E110" s="360"/>
      <c r="F110" s="349"/>
      <c r="G110" s="349"/>
      <c r="H110" s="349"/>
      <c r="I110" s="349"/>
      <c r="J110" s="286" t="s">
        <v>4398</v>
      </c>
      <c r="K110" s="301" t="s">
        <v>4383</v>
      </c>
      <c r="L110" s="310" t="s">
        <v>5791</v>
      </c>
      <c r="M110" s="301" t="s">
        <v>4507</v>
      </c>
      <c r="N110" s="310" t="s">
        <v>4750</v>
      </c>
      <c r="O110" s="18" t="s">
        <v>4506</v>
      </c>
      <c r="P110" s="310" t="s">
        <v>4420</v>
      </c>
      <c r="Q110" s="310" t="s">
        <v>4420</v>
      </c>
      <c r="R110" s="310" t="s">
        <v>6164</v>
      </c>
      <c r="S110" s="310">
        <v>10</v>
      </c>
      <c r="T110" s="59" t="s">
        <v>4420</v>
      </c>
      <c r="U110" s="59" t="s">
        <v>5791</v>
      </c>
      <c r="V110" s="59" t="s">
        <v>4420</v>
      </c>
      <c r="W110" s="59" t="s">
        <v>5791</v>
      </c>
      <c r="X110" s="310" t="s">
        <v>4420</v>
      </c>
      <c r="Y110" s="310" t="s">
        <v>5791</v>
      </c>
      <c r="Z110" s="310" t="s">
        <v>4558</v>
      </c>
      <c r="AA110" s="18">
        <v>10</v>
      </c>
      <c r="AB110" s="224">
        <v>0</v>
      </c>
      <c r="AC110" s="140">
        <v>0</v>
      </c>
      <c r="AD110" s="301" t="s">
        <v>4348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1" t="s">
        <v>4217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1" t="s">
        <v>5806</v>
      </c>
      <c r="AX110" s="59" t="s">
        <v>6129</v>
      </c>
      <c r="AY110" s="310">
        <v>25</v>
      </c>
      <c r="AZ110" s="310">
        <v>20</v>
      </c>
      <c r="BA110" s="310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4420</v>
      </c>
      <c r="BH110" s="310" t="s">
        <v>4465</v>
      </c>
      <c r="BI110" s="310" t="s">
        <v>6204</v>
      </c>
      <c r="BJ110" s="310">
        <v>4</v>
      </c>
      <c r="BK110" s="310">
        <v>6</v>
      </c>
      <c r="BL110" s="196" t="s">
        <v>5791</v>
      </c>
      <c r="BM110" s="197" t="s">
        <v>5791</v>
      </c>
      <c r="BN110" s="197" t="s">
        <v>5791</v>
      </c>
      <c r="BO110" s="197" t="s">
        <v>5791</v>
      </c>
      <c r="BP110" s="197" t="s">
        <v>5791</v>
      </c>
      <c r="BQ110" s="197" t="s">
        <v>5791</v>
      </c>
      <c r="BR110" s="197" t="s">
        <v>5791</v>
      </c>
      <c r="BS110" s="197" t="s">
        <v>5791</v>
      </c>
      <c r="BT110" s="196" t="s">
        <v>5791</v>
      </c>
      <c r="BU110" s="197" t="s">
        <v>5791</v>
      </c>
      <c r="BV110" s="197" t="s">
        <v>5791</v>
      </c>
      <c r="BW110" s="197" t="s">
        <v>5791</v>
      </c>
      <c r="BX110" s="197" t="s">
        <v>5791</v>
      </c>
      <c r="BY110" s="197" t="s">
        <v>5791</v>
      </c>
      <c r="BZ110" s="212" t="s">
        <v>5791</v>
      </c>
      <c r="CA110" s="197" t="s">
        <v>5791</v>
      </c>
      <c r="CB110" s="197" t="s">
        <v>5791</v>
      </c>
      <c r="CC110" s="197" t="s">
        <v>5791</v>
      </c>
      <c r="CD110" s="197" t="s">
        <v>5791</v>
      </c>
      <c r="CE110" s="197" t="s">
        <v>5791</v>
      </c>
      <c r="CF110" s="212" t="s">
        <v>5791</v>
      </c>
      <c r="CG110" s="32" t="s">
        <v>4449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4449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4449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5791</v>
      </c>
      <c r="CZ110" s="202" t="s">
        <v>5791</v>
      </c>
      <c r="DA110" s="202" t="s">
        <v>5791</v>
      </c>
      <c r="DB110" s="203" t="s">
        <v>5791</v>
      </c>
      <c r="DC110" s="201" t="s">
        <v>5791</v>
      </c>
      <c r="DD110" s="202" t="s">
        <v>5791</v>
      </c>
      <c r="DE110" s="203" t="s">
        <v>5791</v>
      </c>
      <c r="DF110" s="274" t="s">
        <v>5791</v>
      </c>
      <c r="DG110" s="310">
        <v>8.8000000000000007</v>
      </c>
      <c r="DH110" s="310">
        <v>640</v>
      </c>
      <c r="DI110" s="32">
        <v>730</v>
      </c>
      <c r="DJ110" s="310">
        <v>800</v>
      </c>
      <c r="DK110" s="32">
        <v>940</v>
      </c>
      <c r="DL110" s="60">
        <v>200000</v>
      </c>
      <c r="DM110" s="29" t="s">
        <v>4769</v>
      </c>
      <c r="DN110" s="32" t="s">
        <v>4435</v>
      </c>
      <c r="DO110" s="306" t="s">
        <v>4565</v>
      </c>
    </row>
    <row r="111" spans="1:119">
      <c r="A111" s="18">
        <v>106</v>
      </c>
      <c r="B111" s="349"/>
      <c r="C111" s="349"/>
      <c r="D111" s="360"/>
      <c r="E111" s="360"/>
      <c r="F111" s="349"/>
      <c r="G111" s="349"/>
      <c r="H111" s="349"/>
      <c r="I111" s="349"/>
      <c r="J111" s="286" t="s">
        <v>4400</v>
      </c>
      <c r="K111" s="301" t="s">
        <v>4383</v>
      </c>
      <c r="L111" s="310" t="s">
        <v>5791</v>
      </c>
      <c r="M111" s="301" t="s">
        <v>4507</v>
      </c>
      <c r="N111" s="310" t="s">
        <v>4750</v>
      </c>
      <c r="O111" s="18" t="s">
        <v>4506</v>
      </c>
      <c r="P111" s="310" t="s">
        <v>4420</v>
      </c>
      <c r="Q111" s="310" t="s">
        <v>4420</v>
      </c>
      <c r="R111" s="310" t="s">
        <v>6164</v>
      </c>
      <c r="S111" s="310">
        <v>10</v>
      </c>
      <c r="T111" s="59" t="s">
        <v>4420</v>
      </c>
      <c r="U111" s="59" t="s">
        <v>5791</v>
      </c>
      <c r="V111" s="59" t="s">
        <v>4420</v>
      </c>
      <c r="W111" s="59" t="s">
        <v>5791</v>
      </c>
      <c r="X111" s="310" t="s">
        <v>4420</v>
      </c>
      <c r="Y111" s="310" t="s">
        <v>5791</v>
      </c>
      <c r="Z111" s="310" t="s">
        <v>4558</v>
      </c>
      <c r="AA111" s="18">
        <v>10</v>
      </c>
      <c r="AB111" s="224">
        <v>0</v>
      </c>
      <c r="AC111" s="140">
        <v>0</v>
      </c>
      <c r="AD111" s="301" t="s">
        <v>4348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1" t="s">
        <v>4217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1" t="s">
        <v>5806</v>
      </c>
      <c r="AX111" s="59" t="s">
        <v>6129</v>
      </c>
      <c r="AY111" s="310">
        <v>25</v>
      </c>
      <c r="AZ111" s="310">
        <v>20</v>
      </c>
      <c r="BA111" s="310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4420</v>
      </c>
      <c r="BH111" s="310" t="s">
        <v>4465</v>
      </c>
      <c r="BI111" s="310" t="s">
        <v>6204</v>
      </c>
      <c r="BJ111" s="310">
        <v>4</v>
      </c>
      <c r="BK111" s="310">
        <v>6</v>
      </c>
      <c r="BL111" s="196" t="s">
        <v>5791</v>
      </c>
      <c r="BM111" s="197" t="s">
        <v>5791</v>
      </c>
      <c r="BN111" s="197" t="s">
        <v>5791</v>
      </c>
      <c r="BO111" s="197" t="s">
        <v>5791</v>
      </c>
      <c r="BP111" s="197" t="s">
        <v>5791</v>
      </c>
      <c r="BQ111" s="197" t="s">
        <v>5791</v>
      </c>
      <c r="BR111" s="197" t="s">
        <v>5791</v>
      </c>
      <c r="BS111" s="197" t="s">
        <v>5791</v>
      </c>
      <c r="BT111" s="196" t="s">
        <v>5791</v>
      </c>
      <c r="BU111" s="197" t="s">
        <v>5791</v>
      </c>
      <c r="BV111" s="197" t="s">
        <v>5791</v>
      </c>
      <c r="BW111" s="197" t="s">
        <v>5791</v>
      </c>
      <c r="BX111" s="197" t="s">
        <v>5791</v>
      </c>
      <c r="BY111" s="197" t="s">
        <v>5791</v>
      </c>
      <c r="BZ111" s="212" t="s">
        <v>5791</v>
      </c>
      <c r="CA111" s="197" t="s">
        <v>5791</v>
      </c>
      <c r="CB111" s="197" t="s">
        <v>5791</v>
      </c>
      <c r="CC111" s="197" t="s">
        <v>5791</v>
      </c>
      <c r="CD111" s="197" t="s">
        <v>5791</v>
      </c>
      <c r="CE111" s="197" t="s">
        <v>5791</v>
      </c>
      <c r="CF111" s="212" t="s">
        <v>5791</v>
      </c>
      <c r="CG111" s="32" t="s">
        <v>4449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4449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4449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5791</v>
      </c>
      <c r="CZ111" s="202" t="s">
        <v>5791</v>
      </c>
      <c r="DA111" s="202" t="s">
        <v>5791</v>
      </c>
      <c r="DB111" s="203" t="s">
        <v>5791</v>
      </c>
      <c r="DC111" s="201" t="s">
        <v>5791</v>
      </c>
      <c r="DD111" s="202" t="s">
        <v>5791</v>
      </c>
      <c r="DE111" s="203" t="s">
        <v>5791</v>
      </c>
      <c r="DF111" s="274" t="s">
        <v>5791</v>
      </c>
      <c r="DG111" s="310">
        <v>8.8000000000000007</v>
      </c>
      <c r="DH111" s="310">
        <v>640</v>
      </c>
      <c r="DI111" s="32">
        <v>730</v>
      </c>
      <c r="DJ111" s="310">
        <v>800</v>
      </c>
      <c r="DK111" s="32">
        <v>940</v>
      </c>
      <c r="DL111" s="60">
        <v>200000</v>
      </c>
      <c r="DM111" s="29" t="s">
        <v>15</v>
      </c>
      <c r="DN111" s="32" t="s">
        <v>4435</v>
      </c>
      <c r="DO111" s="306" t="s">
        <v>4565</v>
      </c>
    </row>
    <row r="112" spans="1:119">
      <c r="A112" s="18">
        <v>107</v>
      </c>
      <c r="B112" s="349"/>
      <c r="C112" s="349"/>
      <c r="D112" s="360"/>
      <c r="E112" s="360"/>
      <c r="F112" s="349"/>
      <c r="G112" s="349"/>
      <c r="H112" s="349"/>
      <c r="I112" s="349"/>
      <c r="J112" s="286" t="s">
        <v>4407</v>
      </c>
      <c r="K112" s="301" t="s">
        <v>4383</v>
      </c>
      <c r="L112" s="310" t="s">
        <v>5791</v>
      </c>
      <c r="M112" s="301" t="s">
        <v>4507</v>
      </c>
      <c r="N112" s="310" t="s">
        <v>4750</v>
      </c>
      <c r="O112" s="18" t="s">
        <v>4506</v>
      </c>
      <c r="P112" s="310" t="s">
        <v>4420</v>
      </c>
      <c r="Q112" s="310" t="s">
        <v>4420</v>
      </c>
      <c r="R112" s="310" t="s">
        <v>6164</v>
      </c>
      <c r="S112" s="310">
        <v>10</v>
      </c>
      <c r="T112" s="59" t="s">
        <v>4420</v>
      </c>
      <c r="U112" s="59" t="s">
        <v>5791</v>
      </c>
      <c r="V112" s="59" t="s">
        <v>4420</v>
      </c>
      <c r="W112" s="59" t="s">
        <v>5791</v>
      </c>
      <c r="X112" s="310" t="s">
        <v>4420</v>
      </c>
      <c r="Y112" s="310" t="s">
        <v>5791</v>
      </c>
      <c r="Z112" s="310" t="s">
        <v>4558</v>
      </c>
      <c r="AA112" s="18">
        <v>10</v>
      </c>
      <c r="AB112" s="224">
        <v>0</v>
      </c>
      <c r="AC112" s="140">
        <v>0</v>
      </c>
      <c r="AD112" s="301" t="s">
        <v>4348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1" t="s">
        <v>4217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1" t="s">
        <v>5806</v>
      </c>
      <c r="AX112" s="59" t="s">
        <v>6129</v>
      </c>
      <c r="AY112" s="310">
        <v>25</v>
      </c>
      <c r="AZ112" s="310">
        <v>20</v>
      </c>
      <c r="BA112" s="310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4420</v>
      </c>
      <c r="BH112" s="310" t="s">
        <v>4465</v>
      </c>
      <c r="BI112" s="310" t="s">
        <v>6204</v>
      </c>
      <c r="BJ112" s="310">
        <v>4</v>
      </c>
      <c r="BK112" s="310">
        <v>6</v>
      </c>
      <c r="BL112" s="196" t="s">
        <v>5791</v>
      </c>
      <c r="BM112" s="197" t="s">
        <v>5791</v>
      </c>
      <c r="BN112" s="197" t="s">
        <v>5791</v>
      </c>
      <c r="BO112" s="197" t="s">
        <v>5791</v>
      </c>
      <c r="BP112" s="197" t="s">
        <v>5791</v>
      </c>
      <c r="BQ112" s="197" t="s">
        <v>5791</v>
      </c>
      <c r="BR112" s="197" t="s">
        <v>5791</v>
      </c>
      <c r="BS112" s="197" t="s">
        <v>5791</v>
      </c>
      <c r="BT112" s="196" t="s">
        <v>5791</v>
      </c>
      <c r="BU112" s="197" t="s">
        <v>5791</v>
      </c>
      <c r="BV112" s="197" t="s">
        <v>5791</v>
      </c>
      <c r="BW112" s="197" t="s">
        <v>5791</v>
      </c>
      <c r="BX112" s="197" t="s">
        <v>5791</v>
      </c>
      <c r="BY112" s="197" t="s">
        <v>5791</v>
      </c>
      <c r="BZ112" s="212" t="s">
        <v>5791</v>
      </c>
      <c r="CA112" s="197" t="s">
        <v>5791</v>
      </c>
      <c r="CB112" s="197" t="s">
        <v>5791</v>
      </c>
      <c r="CC112" s="197" t="s">
        <v>5791</v>
      </c>
      <c r="CD112" s="197" t="s">
        <v>5791</v>
      </c>
      <c r="CE112" s="197" t="s">
        <v>5791</v>
      </c>
      <c r="CF112" s="212" t="s">
        <v>5791</v>
      </c>
      <c r="CG112" s="32" t="s">
        <v>4449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4449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4449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5791</v>
      </c>
      <c r="CZ112" s="202" t="s">
        <v>5791</v>
      </c>
      <c r="DA112" s="202" t="s">
        <v>5791</v>
      </c>
      <c r="DB112" s="203" t="s">
        <v>5791</v>
      </c>
      <c r="DC112" s="201" t="s">
        <v>5791</v>
      </c>
      <c r="DD112" s="202" t="s">
        <v>5791</v>
      </c>
      <c r="DE112" s="203" t="s">
        <v>5791</v>
      </c>
      <c r="DF112" s="274" t="s">
        <v>5791</v>
      </c>
      <c r="DG112" s="310">
        <v>8.8000000000000007</v>
      </c>
      <c r="DH112" s="310">
        <v>640</v>
      </c>
      <c r="DI112" s="32">
        <v>730</v>
      </c>
      <c r="DJ112" s="310">
        <v>800</v>
      </c>
      <c r="DK112" s="32">
        <v>940</v>
      </c>
      <c r="DL112" s="60">
        <v>200000</v>
      </c>
      <c r="DM112" s="29" t="s">
        <v>4572</v>
      </c>
      <c r="DN112" s="32" t="s">
        <v>4435</v>
      </c>
      <c r="DO112" s="306" t="s">
        <v>4565</v>
      </c>
    </row>
    <row r="113" spans="1:119">
      <c r="A113" s="18">
        <v>108</v>
      </c>
      <c r="B113" s="349"/>
      <c r="C113" s="349"/>
      <c r="D113" s="360"/>
      <c r="E113" s="360"/>
      <c r="F113" s="349"/>
      <c r="G113" s="349"/>
      <c r="H113" s="349"/>
      <c r="I113" s="349"/>
      <c r="J113" s="286" t="s">
        <v>4411</v>
      </c>
      <c r="K113" s="301" t="s">
        <v>4383</v>
      </c>
      <c r="L113" s="310" t="s">
        <v>5791</v>
      </c>
      <c r="M113" s="301" t="s">
        <v>4507</v>
      </c>
      <c r="N113" s="310" t="s">
        <v>4750</v>
      </c>
      <c r="O113" s="18" t="s">
        <v>4506</v>
      </c>
      <c r="P113" s="310" t="s">
        <v>4420</v>
      </c>
      <c r="Q113" s="310" t="s">
        <v>4420</v>
      </c>
      <c r="R113" s="310" t="s">
        <v>6164</v>
      </c>
      <c r="S113" s="310">
        <v>10</v>
      </c>
      <c r="T113" s="59" t="s">
        <v>4420</v>
      </c>
      <c r="U113" s="59" t="s">
        <v>5791</v>
      </c>
      <c r="V113" s="59" t="s">
        <v>4420</v>
      </c>
      <c r="W113" s="59" t="s">
        <v>5791</v>
      </c>
      <c r="X113" s="310" t="s">
        <v>4420</v>
      </c>
      <c r="Y113" s="310" t="s">
        <v>5791</v>
      </c>
      <c r="Z113" s="310" t="s">
        <v>4558</v>
      </c>
      <c r="AA113" s="18">
        <v>10</v>
      </c>
      <c r="AB113" s="224">
        <v>0</v>
      </c>
      <c r="AC113" s="140">
        <v>0</v>
      </c>
      <c r="AD113" s="301" t="s">
        <v>4348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1" t="s">
        <v>4217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1" t="s">
        <v>5806</v>
      </c>
      <c r="AX113" s="59" t="s">
        <v>6129</v>
      </c>
      <c r="AY113" s="310">
        <v>25</v>
      </c>
      <c r="AZ113" s="310">
        <v>20</v>
      </c>
      <c r="BA113" s="310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4420</v>
      </c>
      <c r="BH113" s="310" t="s">
        <v>4465</v>
      </c>
      <c r="BI113" s="310" t="s">
        <v>6204</v>
      </c>
      <c r="BJ113" s="310">
        <v>4</v>
      </c>
      <c r="BK113" s="310">
        <v>6</v>
      </c>
      <c r="BL113" s="196" t="s">
        <v>5791</v>
      </c>
      <c r="BM113" s="197" t="s">
        <v>5791</v>
      </c>
      <c r="BN113" s="197" t="s">
        <v>5791</v>
      </c>
      <c r="BO113" s="197" t="s">
        <v>5791</v>
      </c>
      <c r="BP113" s="197" t="s">
        <v>5791</v>
      </c>
      <c r="BQ113" s="197" t="s">
        <v>5791</v>
      </c>
      <c r="BR113" s="197" t="s">
        <v>5791</v>
      </c>
      <c r="BS113" s="197" t="s">
        <v>5791</v>
      </c>
      <c r="BT113" s="196" t="s">
        <v>5791</v>
      </c>
      <c r="BU113" s="197" t="s">
        <v>5791</v>
      </c>
      <c r="BV113" s="197" t="s">
        <v>5791</v>
      </c>
      <c r="BW113" s="197" t="s">
        <v>5791</v>
      </c>
      <c r="BX113" s="197" t="s">
        <v>5791</v>
      </c>
      <c r="BY113" s="197" t="s">
        <v>5791</v>
      </c>
      <c r="BZ113" s="212" t="s">
        <v>5791</v>
      </c>
      <c r="CA113" s="197" t="s">
        <v>5791</v>
      </c>
      <c r="CB113" s="197" t="s">
        <v>5791</v>
      </c>
      <c r="CC113" s="197" t="s">
        <v>5791</v>
      </c>
      <c r="CD113" s="197" t="s">
        <v>5791</v>
      </c>
      <c r="CE113" s="197" t="s">
        <v>5791</v>
      </c>
      <c r="CF113" s="212" t="s">
        <v>5791</v>
      </c>
      <c r="CG113" s="32" t="s">
        <v>4449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4449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4449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5791</v>
      </c>
      <c r="CZ113" s="202" t="s">
        <v>5791</v>
      </c>
      <c r="DA113" s="202" t="s">
        <v>5791</v>
      </c>
      <c r="DB113" s="203" t="s">
        <v>5791</v>
      </c>
      <c r="DC113" s="201" t="s">
        <v>5791</v>
      </c>
      <c r="DD113" s="202" t="s">
        <v>5791</v>
      </c>
      <c r="DE113" s="203" t="s">
        <v>5791</v>
      </c>
      <c r="DF113" s="274" t="s">
        <v>5791</v>
      </c>
      <c r="DG113" s="310">
        <v>8.8000000000000007</v>
      </c>
      <c r="DH113" s="310">
        <v>640</v>
      </c>
      <c r="DI113" s="32">
        <v>730</v>
      </c>
      <c r="DJ113" s="310">
        <v>800</v>
      </c>
      <c r="DK113" s="32">
        <v>940</v>
      </c>
      <c r="DL113" s="60">
        <v>200000</v>
      </c>
      <c r="DM113" s="29" t="s">
        <v>15</v>
      </c>
      <c r="DN113" s="32" t="s">
        <v>4435</v>
      </c>
      <c r="DO113" s="306" t="s">
        <v>4565</v>
      </c>
    </row>
    <row r="114" spans="1:119" ht="16.2" thickBot="1">
      <c r="A114" s="18">
        <v>109</v>
      </c>
      <c r="B114" s="350"/>
      <c r="C114" s="350"/>
      <c r="D114" s="372"/>
      <c r="E114" s="372"/>
      <c r="F114" s="349"/>
      <c r="G114" s="350"/>
      <c r="H114" s="350"/>
      <c r="I114" s="350"/>
      <c r="J114" s="286" t="s">
        <v>4412</v>
      </c>
      <c r="K114" s="301" t="s">
        <v>4383</v>
      </c>
      <c r="L114" s="310" t="s">
        <v>5791</v>
      </c>
      <c r="M114" s="301" t="s">
        <v>4507</v>
      </c>
      <c r="N114" s="310" t="s">
        <v>4750</v>
      </c>
      <c r="O114" s="18" t="s">
        <v>4506</v>
      </c>
      <c r="P114" s="310" t="s">
        <v>4420</v>
      </c>
      <c r="Q114" s="310" t="s">
        <v>4420</v>
      </c>
      <c r="R114" s="310" t="s">
        <v>6164</v>
      </c>
      <c r="S114" s="310">
        <v>10</v>
      </c>
      <c r="T114" s="59" t="s">
        <v>4420</v>
      </c>
      <c r="U114" s="59" t="s">
        <v>5791</v>
      </c>
      <c r="V114" s="59" t="s">
        <v>4420</v>
      </c>
      <c r="W114" s="59" t="s">
        <v>5791</v>
      </c>
      <c r="X114" s="310" t="s">
        <v>4420</v>
      </c>
      <c r="Y114" s="310" t="s">
        <v>5791</v>
      </c>
      <c r="Z114" s="310" t="s">
        <v>4558</v>
      </c>
      <c r="AA114" s="18">
        <v>10</v>
      </c>
      <c r="AB114" s="224">
        <v>0</v>
      </c>
      <c r="AC114" s="140">
        <v>0</v>
      </c>
      <c r="AD114" s="301" t="s">
        <v>4348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1" t="s">
        <v>4217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1" t="s">
        <v>5806</v>
      </c>
      <c r="AX114" s="59" t="s">
        <v>6129</v>
      </c>
      <c r="AY114" s="310">
        <v>25</v>
      </c>
      <c r="AZ114" s="310">
        <v>20</v>
      </c>
      <c r="BA114" s="310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4420</v>
      </c>
      <c r="BH114" s="310" t="s">
        <v>4465</v>
      </c>
      <c r="BI114" s="310" t="s">
        <v>6204</v>
      </c>
      <c r="BJ114" s="310">
        <v>4</v>
      </c>
      <c r="BK114" s="310">
        <v>6</v>
      </c>
      <c r="BL114" s="196" t="s">
        <v>5791</v>
      </c>
      <c r="BM114" s="197" t="s">
        <v>5791</v>
      </c>
      <c r="BN114" s="197" t="s">
        <v>5791</v>
      </c>
      <c r="BO114" s="197" t="s">
        <v>5791</v>
      </c>
      <c r="BP114" s="197" t="s">
        <v>5791</v>
      </c>
      <c r="BQ114" s="197" t="s">
        <v>5791</v>
      </c>
      <c r="BR114" s="197" t="s">
        <v>5791</v>
      </c>
      <c r="BS114" s="197" t="s">
        <v>5791</v>
      </c>
      <c r="BT114" s="196" t="s">
        <v>5791</v>
      </c>
      <c r="BU114" s="197" t="s">
        <v>5791</v>
      </c>
      <c r="BV114" s="197" t="s">
        <v>5791</v>
      </c>
      <c r="BW114" s="197" t="s">
        <v>5791</v>
      </c>
      <c r="BX114" s="197" t="s">
        <v>5791</v>
      </c>
      <c r="BY114" s="197" t="s">
        <v>5791</v>
      </c>
      <c r="BZ114" s="212" t="s">
        <v>5791</v>
      </c>
      <c r="CA114" s="197" t="s">
        <v>5791</v>
      </c>
      <c r="CB114" s="197" t="s">
        <v>5791</v>
      </c>
      <c r="CC114" s="197" t="s">
        <v>5791</v>
      </c>
      <c r="CD114" s="197" t="s">
        <v>5791</v>
      </c>
      <c r="CE114" s="197" t="s">
        <v>5791</v>
      </c>
      <c r="CF114" s="212" t="s">
        <v>5791</v>
      </c>
      <c r="CG114" s="32" t="s">
        <v>4449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4449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4449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5791</v>
      </c>
      <c r="CZ114" s="202" t="s">
        <v>5791</v>
      </c>
      <c r="DA114" s="202" t="s">
        <v>5791</v>
      </c>
      <c r="DB114" s="203" t="s">
        <v>5791</v>
      </c>
      <c r="DC114" s="201" t="s">
        <v>5791</v>
      </c>
      <c r="DD114" s="202" t="s">
        <v>5791</v>
      </c>
      <c r="DE114" s="203" t="s">
        <v>5791</v>
      </c>
      <c r="DF114" s="274" t="s">
        <v>5791</v>
      </c>
      <c r="DG114" s="310">
        <v>8.8000000000000007</v>
      </c>
      <c r="DH114" s="310">
        <v>640</v>
      </c>
      <c r="DI114" s="32">
        <v>730</v>
      </c>
      <c r="DJ114" s="310">
        <v>800</v>
      </c>
      <c r="DK114" s="32">
        <v>940</v>
      </c>
      <c r="DL114" s="60">
        <v>200000</v>
      </c>
      <c r="DM114" s="29" t="s">
        <v>15</v>
      </c>
      <c r="DN114" s="32" t="s">
        <v>4435</v>
      </c>
      <c r="DO114" s="307" t="s">
        <v>4565</v>
      </c>
    </row>
    <row r="115" spans="1:119" ht="15.6" customHeight="1">
      <c r="A115" s="17">
        <v>110</v>
      </c>
      <c r="B115" s="349">
        <v>12</v>
      </c>
      <c r="C115" s="349">
        <v>1986</v>
      </c>
      <c r="D115" s="360" t="s">
        <v>4667</v>
      </c>
      <c r="E115" s="360" t="s">
        <v>4866</v>
      </c>
      <c r="F115" s="348">
        <v>4</v>
      </c>
      <c r="G115" s="349" t="s">
        <v>5905</v>
      </c>
      <c r="H115" s="349" t="s">
        <v>5901</v>
      </c>
      <c r="I115" s="349" t="s">
        <v>5686</v>
      </c>
      <c r="J115" s="284" t="s">
        <v>4457</v>
      </c>
      <c r="K115" s="300" t="s">
        <v>4383</v>
      </c>
      <c r="L115" s="30" t="s">
        <v>5791</v>
      </c>
      <c r="M115" s="300" t="s">
        <v>4507</v>
      </c>
      <c r="N115" s="309" t="s">
        <v>4750</v>
      </c>
      <c r="O115" s="17" t="s">
        <v>4506</v>
      </c>
      <c r="P115" s="309" t="s">
        <v>4420</v>
      </c>
      <c r="Q115" s="309" t="s">
        <v>4420</v>
      </c>
      <c r="R115" s="309" t="s">
        <v>6164</v>
      </c>
      <c r="S115" s="30">
        <v>15</v>
      </c>
      <c r="T115" s="64" t="s">
        <v>4420</v>
      </c>
      <c r="U115" s="64" t="s">
        <v>5791</v>
      </c>
      <c r="V115" s="64" t="s">
        <v>4420</v>
      </c>
      <c r="W115" s="64" t="s">
        <v>5791</v>
      </c>
      <c r="X115" s="309" t="s">
        <v>4420</v>
      </c>
      <c r="Y115" s="309" t="s">
        <v>5791</v>
      </c>
      <c r="Z115" s="30" t="s">
        <v>4558</v>
      </c>
      <c r="AA115" s="87">
        <v>6</v>
      </c>
      <c r="AB115" s="225">
        <v>0</v>
      </c>
      <c r="AC115" s="152">
        <v>0</v>
      </c>
      <c r="AD115" s="300" t="s">
        <v>4350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0" t="s">
        <v>4219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0" t="s">
        <v>5806</v>
      </c>
      <c r="AX115" s="309" t="s">
        <v>4749</v>
      </c>
      <c r="AY115" s="309">
        <v>0</v>
      </c>
      <c r="AZ115" s="309">
        <v>20</v>
      </c>
      <c r="BA115" s="309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4420</v>
      </c>
      <c r="BH115" s="309" t="s">
        <v>4465</v>
      </c>
      <c r="BI115" s="309" t="s">
        <v>6204</v>
      </c>
      <c r="BJ115" s="309">
        <v>4</v>
      </c>
      <c r="BK115" s="309">
        <v>6</v>
      </c>
      <c r="BL115" s="194" t="s">
        <v>5791</v>
      </c>
      <c r="BM115" s="195" t="s">
        <v>5791</v>
      </c>
      <c r="BN115" s="195" t="s">
        <v>5791</v>
      </c>
      <c r="BO115" s="195" t="s">
        <v>5791</v>
      </c>
      <c r="BP115" s="195" t="s">
        <v>5791</v>
      </c>
      <c r="BQ115" s="195" t="s">
        <v>5791</v>
      </c>
      <c r="BR115" s="195" t="s">
        <v>5791</v>
      </c>
      <c r="BS115" s="195" t="s">
        <v>5791</v>
      </c>
      <c r="BT115" s="194" t="s">
        <v>5791</v>
      </c>
      <c r="BU115" s="195" t="s">
        <v>5791</v>
      </c>
      <c r="BV115" s="195" t="s">
        <v>5791</v>
      </c>
      <c r="BW115" s="195" t="s">
        <v>5791</v>
      </c>
      <c r="BX115" s="195" t="s">
        <v>5791</v>
      </c>
      <c r="BY115" s="195" t="s">
        <v>5791</v>
      </c>
      <c r="BZ115" s="213" t="s">
        <v>5791</v>
      </c>
      <c r="CA115" s="195" t="s">
        <v>5791</v>
      </c>
      <c r="CB115" s="195" t="s">
        <v>5791</v>
      </c>
      <c r="CC115" s="195" t="s">
        <v>5791</v>
      </c>
      <c r="CD115" s="195" t="s">
        <v>5791</v>
      </c>
      <c r="CE115" s="195" t="s">
        <v>5791</v>
      </c>
      <c r="CF115" s="213" t="s">
        <v>5791</v>
      </c>
      <c r="CG115" s="143" t="s">
        <v>5664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5664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5664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5791</v>
      </c>
      <c r="CZ115" s="199" t="s">
        <v>5791</v>
      </c>
      <c r="DA115" s="199" t="s">
        <v>5791</v>
      </c>
      <c r="DB115" s="200" t="s">
        <v>5791</v>
      </c>
      <c r="DC115" s="198" t="s">
        <v>5791</v>
      </c>
      <c r="DD115" s="199" t="s">
        <v>5791</v>
      </c>
      <c r="DE115" s="200" t="s">
        <v>5791</v>
      </c>
      <c r="DF115" s="273" t="s">
        <v>5791</v>
      </c>
      <c r="DG115" s="309" t="s">
        <v>4422</v>
      </c>
      <c r="DH115" s="309">
        <v>640</v>
      </c>
      <c r="DI115" s="30">
        <v>730</v>
      </c>
      <c r="DJ115" s="309">
        <v>800</v>
      </c>
      <c r="DK115" s="30">
        <v>940</v>
      </c>
      <c r="DL115" s="75">
        <v>200000</v>
      </c>
      <c r="DM115" s="28" t="s">
        <v>5836</v>
      </c>
      <c r="DN115" s="30" t="s">
        <v>4435</v>
      </c>
      <c r="DO115" s="305" t="s">
        <v>4565</v>
      </c>
    </row>
    <row r="116" spans="1:119">
      <c r="A116" s="18">
        <v>111</v>
      </c>
      <c r="B116" s="349"/>
      <c r="C116" s="349"/>
      <c r="D116" s="360"/>
      <c r="E116" s="360"/>
      <c r="F116" s="349"/>
      <c r="G116" s="349"/>
      <c r="H116" s="349"/>
      <c r="I116" s="349"/>
      <c r="J116" s="286" t="s">
        <v>4458</v>
      </c>
      <c r="K116" s="301" t="s">
        <v>4383</v>
      </c>
      <c r="L116" s="32" t="s">
        <v>5791</v>
      </c>
      <c r="M116" s="301" t="s">
        <v>4507</v>
      </c>
      <c r="N116" s="310" t="s">
        <v>4750</v>
      </c>
      <c r="O116" s="18" t="s">
        <v>4506</v>
      </c>
      <c r="P116" s="310" t="s">
        <v>4420</v>
      </c>
      <c r="Q116" s="310" t="s">
        <v>4420</v>
      </c>
      <c r="R116" s="310" t="s">
        <v>6164</v>
      </c>
      <c r="S116" s="32">
        <v>15</v>
      </c>
      <c r="T116" s="59" t="s">
        <v>4420</v>
      </c>
      <c r="U116" s="59" t="s">
        <v>5791</v>
      </c>
      <c r="V116" s="59" t="s">
        <v>4420</v>
      </c>
      <c r="W116" s="59" t="s">
        <v>5791</v>
      </c>
      <c r="X116" s="310" t="s">
        <v>4420</v>
      </c>
      <c r="Y116" s="310" t="s">
        <v>5791</v>
      </c>
      <c r="Z116" s="32" t="s">
        <v>4558</v>
      </c>
      <c r="AA116" s="72">
        <v>6</v>
      </c>
      <c r="AB116" s="224">
        <v>0</v>
      </c>
      <c r="AC116" s="140">
        <v>0</v>
      </c>
      <c r="AD116" s="301" t="s">
        <v>4350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1" t="s">
        <v>4219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5806</v>
      </c>
      <c r="AX116" s="310" t="s">
        <v>4749</v>
      </c>
      <c r="AY116" s="310">
        <v>0</v>
      </c>
      <c r="AZ116" s="310">
        <v>20</v>
      </c>
      <c r="BA116" s="310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4420</v>
      </c>
      <c r="BH116" s="310" t="s">
        <v>4465</v>
      </c>
      <c r="BI116" s="310" t="s">
        <v>6204</v>
      </c>
      <c r="BJ116" s="310">
        <v>4</v>
      </c>
      <c r="BK116" s="310">
        <v>6</v>
      </c>
      <c r="BL116" s="196" t="s">
        <v>5791</v>
      </c>
      <c r="BM116" s="197" t="s">
        <v>5791</v>
      </c>
      <c r="BN116" s="197" t="s">
        <v>5791</v>
      </c>
      <c r="BO116" s="197" t="s">
        <v>5791</v>
      </c>
      <c r="BP116" s="197" t="s">
        <v>5791</v>
      </c>
      <c r="BQ116" s="197" t="s">
        <v>5791</v>
      </c>
      <c r="BR116" s="197" t="s">
        <v>5791</v>
      </c>
      <c r="BS116" s="197" t="s">
        <v>5791</v>
      </c>
      <c r="BT116" s="196" t="s">
        <v>5791</v>
      </c>
      <c r="BU116" s="197" t="s">
        <v>5791</v>
      </c>
      <c r="BV116" s="197" t="s">
        <v>5791</v>
      </c>
      <c r="BW116" s="197" t="s">
        <v>5791</v>
      </c>
      <c r="BX116" s="197" t="s">
        <v>5791</v>
      </c>
      <c r="BY116" s="197" t="s">
        <v>5791</v>
      </c>
      <c r="BZ116" s="212" t="s">
        <v>5791</v>
      </c>
      <c r="CA116" s="197" t="s">
        <v>5791</v>
      </c>
      <c r="CB116" s="197" t="s">
        <v>5791</v>
      </c>
      <c r="CC116" s="197" t="s">
        <v>5791</v>
      </c>
      <c r="CD116" s="197" t="s">
        <v>5791</v>
      </c>
      <c r="CE116" s="197" t="s">
        <v>5791</v>
      </c>
      <c r="CF116" s="212" t="s">
        <v>5791</v>
      </c>
      <c r="CG116" s="134" t="s">
        <v>5664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5664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5664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5791</v>
      </c>
      <c r="CZ116" s="202" t="s">
        <v>5791</v>
      </c>
      <c r="DA116" s="202" t="s">
        <v>5791</v>
      </c>
      <c r="DB116" s="203" t="s">
        <v>5791</v>
      </c>
      <c r="DC116" s="201" t="s">
        <v>5791</v>
      </c>
      <c r="DD116" s="202" t="s">
        <v>5791</v>
      </c>
      <c r="DE116" s="203" t="s">
        <v>5791</v>
      </c>
      <c r="DF116" s="274" t="s">
        <v>5791</v>
      </c>
      <c r="DG116" s="310" t="s">
        <v>4422</v>
      </c>
      <c r="DH116" s="310">
        <v>640</v>
      </c>
      <c r="DI116" s="32">
        <v>730</v>
      </c>
      <c r="DJ116" s="310">
        <v>800</v>
      </c>
      <c r="DK116" s="32">
        <v>940</v>
      </c>
      <c r="DL116" s="60">
        <v>200000</v>
      </c>
      <c r="DM116" s="29" t="s">
        <v>5837</v>
      </c>
      <c r="DN116" s="32" t="s">
        <v>4435</v>
      </c>
      <c r="DO116" s="306" t="s">
        <v>4565</v>
      </c>
    </row>
    <row r="117" spans="1:119">
      <c r="A117" s="18">
        <v>112</v>
      </c>
      <c r="B117" s="349"/>
      <c r="C117" s="349"/>
      <c r="D117" s="360"/>
      <c r="E117" s="360"/>
      <c r="F117" s="349"/>
      <c r="G117" s="349"/>
      <c r="H117" s="349"/>
      <c r="I117" s="349"/>
      <c r="J117" s="286" t="s">
        <v>4459</v>
      </c>
      <c r="K117" s="301" t="s">
        <v>4383</v>
      </c>
      <c r="L117" s="32" t="s">
        <v>5791</v>
      </c>
      <c r="M117" s="301" t="s">
        <v>4507</v>
      </c>
      <c r="N117" s="310" t="s">
        <v>4750</v>
      </c>
      <c r="O117" s="18" t="s">
        <v>4506</v>
      </c>
      <c r="P117" s="310" t="s">
        <v>4420</v>
      </c>
      <c r="Q117" s="310" t="s">
        <v>4420</v>
      </c>
      <c r="R117" s="310" t="s">
        <v>6164</v>
      </c>
      <c r="S117" s="32">
        <v>15</v>
      </c>
      <c r="T117" s="59" t="s">
        <v>4420</v>
      </c>
      <c r="U117" s="59" t="s">
        <v>5791</v>
      </c>
      <c r="V117" s="59" t="s">
        <v>4420</v>
      </c>
      <c r="W117" s="59" t="s">
        <v>5791</v>
      </c>
      <c r="X117" s="310" t="s">
        <v>4420</v>
      </c>
      <c r="Y117" s="310" t="s">
        <v>5791</v>
      </c>
      <c r="Z117" s="32" t="s">
        <v>4558</v>
      </c>
      <c r="AA117" s="72">
        <v>6</v>
      </c>
      <c r="AB117" s="224">
        <v>0</v>
      </c>
      <c r="AC117" s="140">
        <v>0</v>
      </c>
      <c r="AD117" s="301" t="s">
        <v>4350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1" t="s">
        <v>4219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5806</v>
      </c>
      <c r="AX117" s="310" t="s">
        <v>4749</v>
      </c>
      <c r="AY117" s="310">
        <v>0</v>
      </c>
      <c r="AZ117" s="310">
        <v>20</v>
      </c>
      <c r="BA117" s="310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4420</v>
      </c>
      <c r="BH117" s="310" t="s">
        <v>4465</v>
      </c>
      <c r="BI117" s="310" t="s">
        <v>6204</v>
      </c>
      <c r="BJ117" s="310">
        <v>4</v>
      </c>
      <c r="BK117" s="310">
        <v>6</v>
      </c>
      <c r="BL117" s="196" t="s">
        <v>5791</v>
      </c>
      <c r="BM117" s="197" t="s">
        <v>5791</v>
      </c>
      <c r="BN117" s="197" t="s">
        <v>5791</v>
      </c>
      <c r="BO117" s="197" t="s">
        <v>5791</v>
      </c>
      <c r="BP117" s="197" t="s">
        <v>5791</v>
      </c>
      <c r="BQ117" s="197" t="s">
        <v>5791</v>
      </c>
      <c r="BR117" s="197" t="s">
        <v>5791</v>
      </c>
      <c r="BS117" s="197" t="s">
        <v>5791</v>
      </c>
      <c r="BT117" s="196" t="s">
        <v>5791</v>
      </c>
      <c r="BU117" s="197" t="s">
        <v>5791</v>
      </c>
      <c r="BV117" s="197" t="s">
        <v>5791</v>
      </c>
      <c r="BW117" s="197" t="s">
        <v>5791</v>
      </c>
      <c r="BX117" s="197" t="s">
        <v>5791</v>
      </c>
      <c r="BY117" s="197" t="s">
        <v>5791</v>
      </c>
      <c r="BZ117" s="212" t="s">
        <v>5791</v>
      </c>
      <c r="CA117" s="197" t="s">
        <v>5791</v>
      </c>
      <c r="CB117" s="197" t="s">
        <v>5791</v>
      </c>
      <c r="CC117" s="197" t="s">
        <v>5791</v>
      </c>
      <c r="CD117" s="197" t="s">
        <v>5791</v>
      </c>
      <c r="CE117" s="197" t="s">
        <v>5791</v>
      </c>
      <c r="CF117" s="212" t="s">
        <v>5791</v>
      </c>
      <c r="CG117" s="134" t="s">
        <v>5664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5664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5664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5791</v>
      </c>
      <c r="CZ117" s="202" t="s">
        <v>5791</v>
      </c>
      <c r="DA117" s="202" t="s">
        <v>5791</v>
      </c>
      <c r="DB117" s="203" t="s">
        <v>5791</v>
      </c>
      <c r="DC117" s="201" t="s">
        <v>5791</v>
      </c>
      <c r="DD117" s="202" t="s">
        <v>5791</v>
      </c>
      <c r="DE117" s="203" t="s">
        <v>5791</v>
      </c>
      <c r="DF117" s="274" t="s">
        <v>5791</v>
      </c>
      <c r="DG117" s="310" t="s">
        <v>4422</v>
      </c>
      <c r="DH117" s="310">
        <v>640</v>
      </c>
      <c r="DI117" s="32">
        <v>730</v>
      </c>
      <c r="DJ117" s="310">
        <v>800</v>
      </c>
      <c r="DK117" s="32">
        <v>940</v>
      </c>
      <c r="DL117" s="60">
        <v>200000</v>
      </c>
      <c r="DM117" s="29" t="s">
        <v>15</v>
      </c>
      <c r="DN117" s="32" t="s">
        <v>4435</v>
      </c>
      <c r="DO117" s="306" t="s">
        <v>4565</v>
      </c>
    </row>
    <row r="118" spans="1:119" ht="16.2" thickBot="1">
      <c r="A118" s="18">
        <v>113</v>
      </c>
      <c r="B118" s="350"/>
      <c r="C118" s="350"/>
      <c r="D118" s="372"/>
      <c r="E118" s="372"/>
      <c r="F118" s="350"/>
      <c r="G118" s="350"/>
      <c r="H118" s="350"/>
      <c r="I118" s="350"/>
      <c r="J118" s="286" t="s">
        <v>4460</v>
      </c>
      <c r="K118" s="301" t="s">
        <v>4383</v>
      </c>
      <c r="L118" s="32" t="s">
        <v>5791</v>
      </c>
      <c r="M118" s="301" t="s">
        <v>4507</v>
      </c>
      <c r="N118" s="310" t="s">
        <v>4750</v>
      </c>
      <c r="O118" s="18" t="s">
        <v>4506</v>
      </c>
      <c r="P118" s="310" t="s">
        <v>4420</v>
      </c>
      <c r="Q118" s="310" t="s">
        <v>4420</v>
      </c>
      <c r="R118" s="310" t="s">
        <v>6164</v>
      </c>
      <c r="S118" s="32">
        <v>15</v>
      </c>
      <c r="T118" s="59" t="s">
        <v>4420</v>
      </c>
      <c r="U118" s="59" t="s">
        <v>5791</v>
      </c>
      <c r="V118" s="59" t="s">
        <v>4420</v>
      </c>
      <c r="W118" s="59" t="s">
        <v>5791</v>
      </c>
      <c r="X118" s="310" t="s">
        <v>4420</v>
      </c>
      <c r="Y118" s="310" t="s">
        <v>5791</v>
      </c>
      <c r="Z118" s="32" t="s">
        <v>4558</v>
      </c>
      <c r="AA118" s="72">
        <v>6</v>
      </c>
      <c r="AB118" s="224">
        <v>0</v>
      </c>
      <c r="AC118" s="140">
        <v>0</v>
      </c>
      <c r="AD118" s="301" t="s">
        <v>4350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1" t="s">
        <v>4219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5806</v>
      </c>
      <c r="AX118" s="310" t="s">
        <v>4749</v>
      </c>
      <c r="AY118" s="310">
        <v>0</v>
      </c>
      <c r="AZ118" s="310">
        <v>20</v>
      </c>
      <c r="BA118" s="310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4420</v>
      </c>
      <c r="BH118" s="310" t="s">
        <v>4465</v>
      </c>
      <c r="BI118" s="310" t="s">
        <v>6204</v>
      </c>
      <c r="BJ118" s="310">
        <v>4</v>
      </c>
      <c r="BK118" s="310">
        <v>6</v>
      </c>
      <c r="BL118" s="196" t="s">
        <v>5791</v>
      </c>
      <c r="BM118" s="197" t="s">
        <v>5791</v>
      </c>
      <c r="BN118" s="197" t="s">
        <v>5791</v>
      </c>
      <c r="BO118" s="197" t="s">
        <v>5791</v>
      </c>
      <c r="BP118" s="197" t="s">
        <v>5791</v>
      </c>
      <c r="BQ118" s="197" t="s">
        <v>5791</v>
      </c>
      <c r="BR118" s="197" t="s">
        <v>5791</v>
      </c>
      <c r="BS118" s="197" t="s">
        <v>5791</v>
      </c>
      <c r="BT118" s="196" t="s">
        <v>5791</v>
      </c>
      <c r="BU118" s="197" t="s">
        <v>5791</v>
      </c>
      <c r="BV118" s="197" t="s">
        <v>5791</v>
      </c>
      <c r="BW118" s="197" t="s">
        <v>5791</v>
      </c>
      <c r="BX118" s="197" t="s">
        <v>5791</v>
      </c>
      <c r="BY118" s="197" t="s">
        <v>5791</v>
      </c>
      <c r="BZ118" s="212" t="s">
        <v>5791</v>
      </c>
      <c r="CA118" s="197" t="s">
        <v>5791</v>
      </c>
      <c r="CB118" s="197" t="s">
        <v>5791</v>
      </c>
      <c r="CC118" s="197" t="s">
        <v>5791</v>
      </c>
      <c r="CD118" s="197" t="s">
        <v>5791</v>
      </c>
      <c r="CE118" s="197" t="s">
        <v>5791</v>
      </c>
      <c r="CF118" s="212" t="s">
        <v>5791</v>
      </c>
      <c r="CG118" s="134" t="s">
        <v>5664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5664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5664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5791</v>
      </c>
      <c r="CZ118" s="202" t="s">
        <v>5791</v>
      </c>
      <c r="DA118" s="202" t="s">
        <v>5791</v>
      </c>
      <c r="DB118" s="203" t="s">
        <v>5791</v>
      </c>
      <c r="DC118" s="201" t="s">
        <v>5791</v>
      </c>
      <c r="DD118" s="202" t="s">
        <v>5791</v>
      </c>
      <c r="DE118" s="203" t="s">
        <v>5791</v>
      </c>
      <c r="DF118" s="274" t="s">
        <v>5791</v>
      </c>
      <c r="DG118" s="310" t="s">
        <v>4422</v>
      </c>
      <c r="DH118" s="310">
        <v>640</v>
      </c>
      <c r="DI118" s="32">
        <v>730</v>
      </c>
      <c r="DJ118" s="310">
        <v>800</v>
      </c>
      <c r="DK118" s="32">
        <v>940</v>
      </c>
      <c r="DL118" s="60">
        <v>200000</v>
      </c>
      <c r="DM118" s="29" t="s">
        <v>15</v>
      </c>
      <c r="DN118" s="32" t="s">
        <v>4435</v>
      </c>
      <c r="DO118" s="306" t="s">
        <v>4565</v>
      </c>
    </row>
    <row r="119" spans="1:119" ht="15.6" customHeight="1">
      <c r="A119" s="17">
        <v>114</v>
      </c>
      <c r="B119" s="348">
        <v>13</v>
      </c>
      <c r="C119" s="348">
        <v>1986</v>
      </c>
      <c r="D119" s="359" t="s">
        <v>4668</v>
      </c>
      <c r="E119" s="359" t="s">
        <v>4865</v>
      </c>
      <c r="F119" s="348">
        <v>3</v>
      </c>
      <c r="G119" s="348" t="s">
        <v>5907</v>
      </c>
      <c r="H119" s="348" t="s">
        <v>5906</v>
      </c>
      <c r="I119" s="348" t="s">
        <v>6223</v>
      </c>
      <c r="J119" s="284" t="s">
        <v>4475</v>
      </c>
      <c r="K119" s="300" t="s">
        <v>4383</v>
      </c>
      <c r="L119" s="309" t="s">
        <v>5791</v>
      </c>
      <c r="M119" s="300" t="s">
        <v>4508</v>
      </c>
      <c r="N119" s="309" t="s">
        <v>4702</v>
      </c>
      <c r="O119" s="17" t="s">
        <v>4506</v>
      </c>
      <c r="P119" s="309" t="s">
        <v>4420</v>
      </c>
      <c r="Q119" s="309" t="s">
        <v>4420</v>
      </c>
      <c r="R119" s="309" t="s">
        <v>4420</v>
      </c>
      <c r="S119" s="309" t="s">
        <v>5791</v>
      </c>
      <c r="T119" s="64" t="s">
        <v>4420</v>
      </c>
      <c r="U119" s="64" t="s">
        <v>5791</v>
      </c>
      <c r="V119" s="64" t="s">
        <v>4420</v>
      </c>
      <c r="W119" s="64" t="s">
        <v>5791</v>
      </c>
      <c r="X119" s="309" t="s">
        <v>4420</v>
      </c>
      <c r="Y119" s="309" t="s">
        <v>5791</v>
      </c>
      <c r="Z119" s="309" t="s">
        <v>4558</v>
      </c>
      <c r="AA119" s="17">
        <v>10</v>
      </c>
      <c r="AB119" s="225">
        <v>0</v>
      </c>
      <c r="AC119" s="152" t="s">
        <v>5791</v>
      </c>
      <c r="AD119" s="155" t="s">
        <v>4514</v>
      </c>
      <c r="AE119" s="195" t="s">
        <v>5791</v>
      </c>
      <c r="AF119" s="195" t="s">
        <v>5791</v>
      </c>
      <c r="AG119" s="195" t="s">
        <v>5791</v>
      </c>
      <c r="AH119" s="195" t="s">
        <v>5791</v>
      </c>
      <c r="AI119" s="195" t="s">
        <v>5791</v>
      </c>
      <c r="AJ119" s="300" t="s">
        <v>3913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0" t="s">
        <v>5806</v>
      </c>
      <c r="AX119" s="64" t="s">
        <v>6129</v>
      </c>
      <c r="AY119" s="309">
        <v>40</v>
      </c>
      <c r="AZ119" s="309">
        <v>20</v>
      </c>
      <c r="BA119" s="309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4470</v>
      </c>
      <c r="BH119" s="309" t="s">
        <v>6204</v>
      </c>
      <c r="BI119" s="309" t="s">
        <v>6204</v>
      </c>
      <c r="BJ119" s="309">
        <v>2</v>
      </c>
      <c r="BK119" s="309">
        <v>4</v>
      </c>
      <c r="BL119" s="194" t="s">
        <v>5791</v>
      </c>
      <c r="BM119" s="195" t="s">
        <v>5791</v>
      </c>
      <c r="BN119" s="195" t="s">
        <v>5791</v>
      </c>
      <c r="BO119" s="195" t="s">
        <v>5791</v>
      </c>
      <c r="BP119" s="195" t="s">
        <v>5791</v>
      </c>
      <c r="BQ119" s="195" t="s">
        <v>5791</v>
      </c>
      <c r="BR119" s="195" t="s">
        <v>5791</v>
      </c>
      <c r="BS119" s="195" t="s">
        <v>5791</v>
      </c>
      <c r="BT119" s="194" t="s">
        <v>5791</v>
      </c>
      <c r="BU119" s="195" t="s">
        <v>5791</v>
      </c>
      <c r="BV119" s="195" t="s">
        <v>5791</v>
      </c>
      <c r="BW119" s="195" t="s">
        <v>5791</v>
      </c>
      <c r="BX119" s="195" t="s">
        <v>5791</v>
      </c>
      <c r="BY119" s="195" t="s">
        <v>5791</v>
      </c>
      <c r="BZ119" s="213" t="s">
        <v>5791</v>
      </c>
      <c r="CA119" s="195" t="s">
        <v>5791</v>
      </c>
      <c r="CB119" s="195" t="s">
        <v>5791</v>
      </c>
      <c r="CC119" s="195" t="s">
        <v>5791</v>
      </c>
      <c r="CD119" s="195" t="s">
        <v>5791</v>
      </c>
      <c r="CE119" s="195" t="s">
        <v>5791</v>
      </c>
      <c r="CF119" s="213" t="s">
        <v>5791</v>
      </c>
      <c r="CG119" s="30" t="s">
        <v>4449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4449</v>
      </c>
      <c r="CN119" s="71">
        <v>235</v>
      </c>
      <c r="CO119" s="16">
        <f>(304.5+327)/2</f>
        <v>315.75</v>
      </c>
      <c r="CP119" s="64">
        <v>360</v>
      </c>
      <c r="CQ119" s="309">
        <f>(436+458)/2</f>
        <v>447</v>
      </c>
      <c r="CR119" s="65">
        <v>200000</v>
      </c>
      <c r="CS119" s="30" t="s">
        <v>4449</v>
      </c>
      <c r="CT119" s="71">
        <v>235</v>
      </c>
      <c r="CU119" s="309">
        <v>356</v>
      </c>
      <c r="CV119" s="64">
        <v>360</v>
      </c>
      <c r="CW119" s="309">
        <v>576</v>
      </c>
      <c r="CX119" s="75">
        <v>200000</v>
      </c>
      <c r="CY119" s="198" t="s">
        <v>5791</v>
      </c>
      <c r="CZ119" s="199" t="s">
        <v>5791</v>
      </c>
      <c r="DA119" s="199" t="s">
        <v>5791</v>
      </c>
      <c r="DB119" s="200" t="s">
        <v>5791</v>
      </c>
      <c r="DC119" s="198" t="s">
        <v>5791</v>
      </c>
      <c r="DD119" s="199" t="s">
        <v>5791</v>
      </c>
      <c r="DE119" s="200" t="s">
        <v>5791</v>
      </c>
      <c r="DF119" s="273" t="s">
        <v>5791</v>
      </c>
      <c r="DG119" s="309">
        <v>4.8</v>
      </c>
      <c r="DH119" s="309">
        <v>320</v>
      </c>
      <c r="DI119" s="30">
        <v>360</v>
      </c>
      <c r="DJ119" s="309">
        <v>400</v>
      </c>
      <c r="DK119" s="30">
        <v>440</v>
      </c>
      <c r="DL119" s="75">
        <v>200000</v>
      </c>
      <c r="DM119" s="28" t="s">
        <v>15</v>
      </c>
      <c r="DN119" s="309" t="s">
        <v>6009</v>
      </c>
      <c r="DO119" s="305" t="s">
        <v>4565</v>
      </c>
    </row>
    <row r="120" spans="1:119">
      <c r="A120" s="18">
        <v>115</v>
      </c>
      <c r="B120" s="349"/>
      <c r="C120" s="349"/>
      <c r="D120" s="360"/>
      <c r="E120" s="360"/>
      <c r="F120" s="349"/>
      <c r="G120" s="349"/>
      <c r="H120" s="349"/>
      <c r="I120" s="349"/>
      <c r="J120" s="286" t="s">
        <v>4476</v>
      </c>
      <c r="K120" s="301" t="s">
        <v>4383</v>
      </c>
      <c r="L120" s="310" t="s">
        <v>5791</v>
      </c>
      <c r="M120" s="301" t="s">
        <v>4508</v>
      </c>
      <c r="N120" s="310" t="s">
        <v>4702</v>
      </c>
      <c r="O120" s="18" t="s">
        <v>4506</v>
      </c>
      <c r="P120" s="310" t="s">
        <v>4420</v>
      </c>
      <c r="Q120" s="310" t="s">
        <v>4420</v>
      </c>
      <c r="R120" s="310" t="s">
        <v>4420</v>
      </c>
      <c r="S120" s="310" t="s">
        <v>5791</v>
      </c>
      <c r="T120" s="59" t="s">
        <v>4420</v>
      </c>
      <c r="U120" s="59" t="s">
        <v>5791</v>
      </c>
      <c r="V120" s="59" t="s">
        <v>4420</v>
      </c>
      <c r="W120" s="59" t="s">
        <v>5791</v>
      </c>
      <c r="X120" s="310" t="s">
        <v>4420</v>
      </c>
      <c r="Y120" s="310" t="s">
        <v>5791</v>
      </c>
      <c r="Z120" s="310" t="s">
        <v>4558</v>
      </c>
      <c r="AA120" s="18">
        <v>10</v>
      </c>
      <c r="AB120" s="224">
        <v>0</v>
      </c>
      <c r="AC120" s="140" t="s">
        <v>5791</v>
      </c>
      <c r="AD120" s="156" t="s">
        <v>4514</v>
      </c>
      <c r="AE120" s="197" t="s">
        <v>5791</v>
      </c>
      <c r="AF120" s="197" t="s">
        <v>5791</v>
      </c>
      <c r="AG120" s="197" t="s">
        <v>5791</v>
      </c>
      <c r="AH120" s="197" t="s">
        <v>5791</v>
      </c>
      <c r="AI120" s="197" t="s">
        <v>5791</v>
      </c>
      <c r="AJ120" s="301" t="s">
        <v>3913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1" t="s">
        <v>5806</v>
      </c>
      <c r="AX120" s="59" t="s">
        <v>6129</v>
      </c>
      <c r="AY120" s="310">
        <v>40</v>
      </c>
      <c r="AZ120" s="310">
        <v>20</v>
      </c>
      <c r="BA120" s="310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4420</v>
      </c>
      <c r="BH120" s="310" t="s">
        <v>4465</v>
      </c>
      <c r="BI120" s="310" t="s">
        <v>6204</v>
      </c>
      <c r="BJ120" s="310">
        <v>4</v>
      </c>
      <c r="BK120" s="310">
        <v>6</v>
      </c>
      <c r="BL120" s="196" t="s">
        <v>5791</v>
      </c>
      <c r="BM120" s="197" t="s">
        <v>5791</v>
      </c>
      <c r="BN120" s="197" t="s">
        <v>5791</v>
      </c>
      <c r="BO120" s="197" t="s">
        <v>5791</v>
      </c>
      <c r="BP120" s="197" t="s">
        <v>5791</v>
      </c>
      <c r="BQ120" s="197" t="s">
        <v>5791</v>
      </c>
      <c r="BR120" s="197" t="s">
        <v>5791</v>
      </c>
      <c r="BS120" s="197" t="s">
        <v>5791</v>
      </c>
      <c r="BT120" s="196" t="s">
        <v>5791</v>
      </c>
      <c r="BU120" s="197" t="s">
        <v>5791</v>
      </c>
      <c r="BV120" s="197" t="s">
        <v>5791</v>
      </c>
      <c r="BW120" s="197" t="s">
        <v>5791</v>
      </c>
      <c r="BX120" s="197" t="s">
        <v>5791</v>
      </c>
      <c r="BY120" s="197" t="s">
        <v>5791</v>
      </c>
      <c r="BZ120" s="212" t="s">
        <v>5791</v>
      </c>
      <c r="CA120" s="197" t="s">
        <v>5791</v>
      </c>
      <c r="CB120" s="197" t="s">
        <v>5791</v>
      </c>
      <c r="CC120" s="197" t="s">
        <v>5791</v>
      </c>
      <c r="CD120" s="197" t="s">
        <v>5791</v>
      </c>
      <c r="CE120" s="197" t="s">
        <v>5791</v>
      </c>
      <c r="CF120" s="212" t="s">
        <v>5791</v>
      </c>
      <c r="CG120" s="32" t="s">
        <v>4449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4449</v>
      </c>
      <c r="CN120" s="46">
        <v>235</v>
      </c>
      <c r="CO120" s="21">
        <f>(304.5+327)/2</f>
        <v>315.75</v>
      </c>
      <c r="CP120" s="59">
        <v>360</v>
      </c>
      <c r="CQ120" s="310">
        <f>(436+458)/2</f>
        <v>447</v>
      </c>
      <c r="CR120" s="66">
        <v>200000</v>
      </c>
      <c r="CS120" s="32" t="s">
        <v>4449</v>
      </c>
      <c r="CT120" s="46">
        <v>235</v>
      </c>
      <c r="CU120" s="310">
        <v>356</v>
      </c>
      <c r="CV120" s="59">
        <v>360</v>
      </c>
      <c r="CW120" s="310">
        <v>576</v>
      </c>
      <c r="CX120" s="60">
        <v>200000</v>
      </c>
      <c r="CY120" s="201" t="s">
        <v>5791</v>
      </c>
      <c r="CZ120" s="202" t="s">
        <v>5791</v>
      </c>
      <c r="DA120" s="202" t="s">
        <v>5791</v>
      </c>
      <c r="DB120" s="203" t="s">
        <v>5791</v>
      </c>
      <c r="DC120" s="201" t="s">
        <v>5791</v>
      </c>
      <c r="DD120" s="202" t="s">
        <v>5791</v>
      </c>
      <c r="DE120" s="203" t="s">
        <v>5791</v>
      </c>
      <c r="DF120" s="274" t="s">
        <v>5791</v>
      </c>
      <c r="DG120" s="310">
        <v>4.8</v>
      </c>
      <c r="DH120" s="310">
        <v>320</v>
      </c>
      <c r="DI120" s="32">
        <v>360</v>
      </c>
      <c r="DJ120" s="310">
        <v>400</v>
      </c>
      <c r="DK120" s="32">
        <v>440</v>
      </c>
      <c r="DL120" s="60">
        <v>200000</v>
      </c>
      <c r="DM120" s="29" t="s">
        <v>15</v>
      </c>
      <c r="DN120" s="310" t="s">
        <v>6009</v>
      </c>
      <c r="DO120" s="306" t="s">
        <v>4565</v>
      </c>
    </row>
    <row r="121" spans="1:119" ht="16.2" thickBot="1">
      <c r="A121" s="14">
        <v>116</v>
      </c>
      <c r="B121" s="350"/>
      <c r="C121" s="350"/>
      <c r="D121" s="372"/>
      <c r="E121" s="372"/>
      <c r="F121" s="350"/>
      <c r="G121" s="350"/>
      <c r="H121" s="350"/>
      <c r="I121" s="350"/>
      <c r="J121" s="285" t="s">
        <v>4477</v>
      </c>
      <c r="K121" s="308" t="s">
        <v>4383</v>
      </c>
      <c r="L121" s="311" t="s">
        <v>5791</v>
      </c>
      <c r="M121" s="308" t="s">
        <v>4508</v>
      </c>
      <c r="N121" s="311" t="s">
        <v>4702</v>
      </c>
      <c r="O121" s="14" t="s">
        <v>4506</v>
      </c>
      <c r="P121" s="311" t="s">
        <v>4420</v>
      </c>
      <c r="Q121" s="311" t="s">
        <v>4420</v>
      </c>
      <c r="R121" s="311" t="s">
        <v>4420</v>
      </c>
      <c r="S121" s="311" t="s">
        <v>5791</v>
      </c>
      <c r="T121" s="86" t="s">
        <v>4420</v>
      </c>
      <c r="U121" s="86" t="s">
        <v>5791</v>
      </c>
      <c r="V121" s="86" t="s">
        <v>4420</v>
      </c>
      <c r="W121" s="86" t="s">
        <v>5791</v>
      </c>
      <c r="X121" s="311" t="s">
        <v>4420</v>
      </c>
      <c r="Y121" s="311" t="s">
        <v>5791</v>
      </c>
      <c r="Z121" s="311" t="s">
        <v>4558</v>
      </c>
      <c r="AA121" s="14">
        <v>10</v>
      </c>
      <c r="AB121" s="226">
        <v>0</v>
      </c>
      <c r="AC121" s="153" t="s">
        <v>5791</v>
      </c>
      <c r="AD121" s="157" t="s">
        <v>4514</v>
      </c>
      <c r="AE121" s="197" t="s">
        <v>5791</v>
      </c>
      <c r="AF121" s="197" t="s">
        <v>5791</v>
      </c>
      <c r="AG121" s="197" t="s">
        <v>5791</v>
      </c>
      <c r="AH121" s="197" t="s">
        <v>5791</v>
      </c>
      <c r="AI121" s="197" t="s">
        <v>5791</v>
      </c>
      <c r="AJ121" s="308" t="s">
        <v>3913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8" t="s">
        <v>5806</v>
      </c>
      <c r="AX121" s="86" t="s">
        <v>6129</v>
      </c>
      <c r="AY121" s="311">
        <v>40</v>
      </c>
      <c r="AZ121" s="311">
        <v>20</v>
      </c>
      <c r="BA121" s="311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4420</v>
      </c>
      <c r="BH121" s="311" t="s">
        <v>4465</v>
      </c>
      <c r="BI121" s="311" t="s">
        <v>4465</v>
      </c>
      <c r="BJ121" s="311">
        <v>4</v>
      </c>
      <c r="BK121" s="311">
        <v>8</v>
      </c>
      <c r="BL121" s="191" t="s">
        <v>5791</v>
      </c>
      <c r="BM121" s="192" t="s">
        <v>5791</v>
      </c>
      <c r="BN121" s="192" t="s">
        <v>5791</v>
      </c>
      <c r="BO121" s="192" t="s">
        <v>5791</v>
      </c>
      <c r="BP121" s="192" t="s">
        <v>5791</v>
      </c>
      <c r="BQ121" s="192" t="s">
        <v>5791</v>
      </c>
      <c r="BR121" s="192" t="s">
        <v>5791</v>
      </c>
      <c r="BS121" s="192" t="s">
        <v>5791</v>
      </c>
      <c r="BT121" s="191" t="s">
        <v>5791</v>
      </c>
      <c r="BU121" s="192" t="s">
        <v>5791</v>
      </c>
      <c r="BV121" s="192" t="s">
        <v>5791</v>
      </c>
      <c r="BW121" s="192" t="s">
        <v>5791</v>
      </c>
      <c r="BX121" s="192" t="s">
        <v>5791</v>
      </c>
      <c r="BY121" s="192" t="s">
        <v>5791</v>
      </c>
      <c r="BZ121" s="214" t="s">
        <v>5791</v>
      </c>
      <c r="CA121" s="192" t="s">
        <v>5791</v>
      </c>
      <c r="CB121" s="192" t="s">
        <v>5791</v>
      </c>
      <c r="CC121" s="192" t="s">
        <v>5791</v>
      </c>
      <c r="CD121" s="192" t="s">
        <v>5791</v>
      </c>
      <c r="CE121" s="192" t="s">
        <v>5791</v>
      </c>
      <c r="CF121" s="214" t="s">
        <v>5791</v>
      </c>
      <c r="CG121" s="34" t="s">
        <v>4449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4449</v>
      </c>
      <c r="CN121" s="84">
        <v>235</v>
      </c>
      <c r="CO121" s="23">
        <f>(304.5+327)/2</f>
        <v>315.75</v>
      </c>
      <c r="CP121" s="86">
        <v>360</v>
      </c>
      <c r="CQ121" s="311">
        <f>(436+458)/2</f>
        <v>447</v>
      </c>
      <c r="CR121" s="69">
        <v>200000</v>
      </c>
      <c r="CS121" s="34" t="s">
        <v>4449</v>
      </c>
      <c r="CT121" s="84">
        <v>235</v>
      </c>
      <c r="CU121" s="311">
        <v>356</v>
      </c>
      <c r="CV121" s="86">
        <v>360</v>
      </c>
      <c r="CW121" s="311">
        <v>576</v>
      </c>
      <c r="CX121" s="76">
        <v>200000</v>
      </c>
      <c r="CY121" s="204" t="s">
        <v>5791</v>
      </c>
      <c r="CZ121" s="205" t="s">
        <v>5791</v>
      </c>
      <c r="DA121" s="205" t="s">
        <v>5791</v>
      </c>
      <c r="DB121" s="206" t="s">
        <v>5791</v>
      </c>
      <c r="DC121" s="204" t="s">
        <v>5791</v>
      </c>
      <c r="DD121" s="205" t="s">
        <v>5791</v>
      </c>
      <c r="DE121" s="206" t="s">
        <v>5791</v>
      </c>
      <c r="DF121" s="275" t="s">
        <v>5791</v>
      </c>
      <c r="DG121" s="311">
        <v>4.8</v>
      </c>
      <c r="DH121" s="311">
        <v>320</v>
      </c>
      <c r="DI121" s="34">
        <v>360</v>
      </c>
      <c r="DJ121" s="311">
        <v>400</v>
      </c>
      <c r="DK121" s="34">
        <v>440</v>
      </c>
      <c r="DL121" s="76">
        <v>200000</v>
      </c>
      <c r="DM121" s="27" t="s">
        <v>4758</v>
      </c>
      <c r="DN121" s="311" t="s">
        <v>6009</v>
      </c>
      <c r="DO121" s="307" t="s">
        <v>4565</v>
      </c>
    </row>
    <row r="122" spans="1:119" ht="15.6" customHeight="1">
      <c r="A122" s="17">
        <v>117</v>
      </c>
      <c r="B122" s="348">
        <v>14</v>
      </c>
      <c r="C122" s="348">
        <v>1987</v>
      </c>
      <c r="D122" s="359" t="s">
        <v>4479</v>
      </c>
      <c r="E122" s="359" t="s">
        <v>4864</v>
      </c>
      <c r="F122" s="348">
        <v>6</v>
      </c>
      <c r="G122" s="348" t="s">
        <v>5905</v>
      </c>
      <c r="H122" s="348" t="s">
        <v>5901</v>
      </c>
      <c r="I122" s="348" t="s">
        <v>6224</v>
      </c>
      <c r="J122" s="284" t="s">
        <v>4414</v>
      </c>
      <c r="K122" s="300" t="s">
        <v>4383</v>
      </c>
      <c r="L122" s="309" t="s">
        <v>5791</v>
      </c>
      <c r="M122" s="300" t="s">
        <v>4508</v>
      </c>
      <c r="N122" s="309" t="s">
        <v>4700</v>
      </c>
      <c r="O122" s="17" t="s">
        <v>4506</v>
      </c>
      <c r="P122" s="309" t="s">
        <v>4420</v>
      </c>
      <c r="Q122" s="309" t="s">
        <v>4420</v>
      </c>
      <c r="R122" s="309" t="s">
        <v>6164</v>
      </c>
      <c r="S122" s="309">
        <v>12</v>
      </c>
      <c r="T122" s="64" t="s">
        <v>4420</v>
      </c>
      <c r="U122" s="64" t="s">
        <v>5791</v>
      </c>
      <c r="V122" s="64" t="s">
        <v>4420</v>
      </c>
      <c r="W122" s="64" t="s">
        <v>5791</v>
      </c>
      <c r="X122" s="309" t="s">
        <v>4420</v>
      </c>
      <c r="Y122" s="309" t="s">
        <v>5791</v>
      </c>
      <c r="Z122" s="309" t="s">
        <v>4558</v>
      </c>
      <c r="AA122" s="17">
        <v>10</v>
      </c>
      <c r="AB122" s="225">
        <v>0</v>
      </c>
      <c r="AC122" s="152">
        <v>0</v>
      </c>
      <c r="AD122" s="300" t="s">
        <v>4344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0" t="s">
        <v>4210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0" t="s">
        <v>5806</v>
      </c>
      <c r="AX122" s="64" t="s">
        <v>6129</v>
      </c>
      <c r="AY122" s="309">
        <v>25</v>
      </c>
      <c r="AZ122" s="309">
        <v>20</v>
      </c>
      <c r="BA122" s="309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4420</v>
      </c>
      <c r="BH122" s="309" t="s">
        <v>4465</v>
      </c>
      <c r="BI122" s="309" t="s">
        <v>6204</v>
      </c>
      <c r="BJ122" s="309">
        <v>4</v>
      </c>
      <c r="BK122" s="309">
        <v>6</v>
      </c>
      <c r="BL122" s="194" t="s">
        <v>5791</v>
      </c>
      <c r="BM122" s="195" t="s">
        <v>5791</v>
      </c>
      <c r="BN122" s="195" t="s">
        <v>5791</v>
      </c>
      <c r="BO122" s="195" t="s">
        <v>5791</v>
      </c>
      <c r="BP122" s="195" t="s">
        <v>5791</v>
      </c>
      <c r="BQ122" s="195" t="s">
        <v>5791</v>
      </c>
      <c r="BR122" s="195" t="s">
        <v>5791</v>
      </c>
      <c r="BS122" s="195" t="s">
        <v>5791</v>
      </c>
      <c r="BT122" s="194" t="s">
        <v>5791</v>
      </c>
      <c r="BU122" s="195" t="s">
        <v>5791</v>
      </c>
      <c r="BV122" s="195" t="s">
        <v>5791</v>
      </c>
      <c r="BW122" s="195" t="s">
        <v>5791</v>
      </c>
      <c r="BX122" s="195" t="s">
        <v>5791</v>
      </c>
      <c r="BY122" s="195" t="s">
        <v>5791</v>
      </c>
      <c r="BZ122" s="213" t="s">
        <v>5791</v>
      </c>
      <c r="CA122" s="195" t="s">
        <v>5791</v>
      </c>
      <c r="CB122" s="195" t="s">
        <v>5791</v>
      </c>
      <c r="CC122" s="195" t="s">
        <v>5791</v>
      </c>
      <c r="CD122" s="195" t="s">
        <v>5791</v>
      </c>
      <c r="CE122" s="195" t="s">
        <v>5791</v>
      </c>
      <c r="CF122" s="213" t="s">
        <v>5791</v>
      </c>
      <c r="CG122" s="30" t="s">
        <v>4449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4449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4449</v>
      </c>
      <c r="CT122" s="71">
        <v>235</v>
      </c>
      <c r="CU122" s="309">
        <v>300</v>
      </c>
      <c r="CV122" s="64">
        <v>360</v>
      </c>
      <c r="CW122" s="30">
        <v>450</v>
      </c>
      <c r="CX122" s="75">
        <v>200000</v>
      </c>
      <c r="CY122" s="198" t="s">
        <v>5791</v>
      </c>
      <c r="CZ122" s="199" t="s">
        <v>5791</v>
      </c>
      <c r="DA122" s="199" t="s">
        <v>5791</v>
      </c>
      <c r="DB122" s="200" t="s">
        <v>5791</v>
      </c>
      <c r="DC122" s="198" t="s">
        <v>5791</v>
      </c>
      <c r="DD122" s="199" t="s">
        <v>5791</v>
      </c>
      <c r="DE122" s="200" t="s">
        <v>5791</v>
      </c>
      <c r="DF122" s="273" t="s">
        <v>5791</v>
      </c>
      <c r="DG122" s="309">
        <v>8.8000000000000007</v>
      </c>
      <c r="DH122" s="309">
        <v>640</v>
      </c>
      <c r="DI122" s="30">
        <v>730</v>
      </c>
      <c r="DJ122" s="309">
        <v>800</v>
      </c>
      <c r="DK122" s="30">
        <v>940</v>
      </c>
      <c r="DL122" s="75">
        <v>200000</v>
      </c>
      <c r="DM122" s="28" t="s">
        <v>15</v>
      </c>
      <c r="DN122" s="30" t="s">
        <v>4435</v>
      </c>
      <c r="DO122" s="305" t="s">
        <v>4565</v>
      </c>
    </row>
    <row r="123" spans="1:119">
      <c r="A123" s="18">
        <v>118</v>
      </c>
      <c r="B123" s="349"/>
      <c r="C123" s="349"/>
      <c r="D123" s="360"/>
      <c r="E123" s="360"/>
      <c r="F123" s="349"/>
      <c r="G123" s="349"/>
      <c r="H123" s="349"/>
      <c r="I123" s="349"/>
      <c r="J123" s="286" t="s">
        <v>4415</v>
      </c>
      <c r="K123" s="301" t="s">
        <v>4383</v>
      </c>
      <c r="L123" s="310" t="s">
        <v>5791</v>
      </c>
      <c r="M123" s="301" t="s">
        <v>4508</v>
      </c>
      <c r="N123" s="310" t="s">
        <v>4700</v>
      </c>
      <c r="O123" s="18" t="s">
        <v>4506</v>
      </c>
      <c r="P123" s="310" t="s">
        <v>4420</v>
      </c>
      <c r="Q123" s="310" t="s">
        <v>4420</v>
      </c>
      <c r="R123" s="310" t="s">
        <v>6164</v>
      </c>
      <c r="S123" s="310">
        <v>12</v>
      </c>
      <c r="T123" s="59" t="s">
        <v>4420</v>
      </c>
      <c r="U123" s="59" t="s">
        <v>5791</v>
      </c>
      <c r="V123" s="59" t="s">
        <v>4420</v>
      </c>
      <c r="W123" s="59" t="s">
        <v>5791</v>
      </c>
      <c r="X123" s="310" t="s">
        <v>4420</v>
      </c>
      <c r="Y123" s="310" t="s">
        <v>5791</v>
      </c>
      <c r="Z123" s="310" t="s">
        <v>4558</v>
      </c>
      <c r="AA123" s="18">
        <v>10</v>
      </c>
      <c r="AB123" s="224">
        <v>0</v>
      </c>
      <c r="AC123" s="140">
        <v>0</v>
      </c>
      <c r="AD123" s="301" t="s">
        <v>4344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1" t="s">
        <v>4210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1" t="s">
        <v>5806</v>
      </c>
      <c r="AX123" s="59" t="s">
        <v>6129</v>
      </c>
      <c r="AY123" s="310">
        <v>25</v>
      </c>
      <c r="AZ123" s="310">
        <v>20</v>
      </c>
      <c r="BA123" s="310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4420</v>
      </c>
      <c r="BH123" s="310" t="s">
        <v>4465</v>
      </c>
      <c r="BI123" s="310" t="s">
        <v>6204</v>
      </c>
      <c r="BJ123" s="310">
        <v>4</v>
      </c>
      <c r="BK123" s="310">
        <v>6</v>
      </c>
      <c r="BL123" s="196" t="s">
        <v>5791</v>
      </c>
      <c r="BM123" s="197" t="s">
        <v>5791</v>
      </c>
      <c r="BN123" s="197" t="s">
        <v>5791</v>
      </c>
      <c r="BO123" s="197" t="s">
        <v>5791</v>
      </c>
      <c r="BP123" s="197" t="s">
        <v>5791</v>
      </c>
      <c r="BQ123" s="197" t="s">
        <v>5791</v>
      </c>
      <c r="BR123" s="197" t="s">
        <v>5791</v>
      </c>
      <c r="BS123" s="197" t="s">
        <v>5791</v>
      </c>
      <c r="BT123" s="196" t="s">
        <v>5791</v>
      </c>
      <c r="BU123" s="197" t="s">
        <v>5791</v>
      </c>
      <c r="BV123" s="197" t="s">
        <v>5791</v>
      </c>
      <c r="BW123" s="197" t="s">
        <v>5791</v>
      </c>
      <c r="BX123" s="197" t="s">
        <v>5791</v>
      </c>
      <c r="BY123" s="197" t="s">
        <v>5791</v>
      </c>
      <c r="BZ123" s="212" t="s">
        <v>5791</v>
      </c>
      <c r="CA123" s="197" t="s">
        <v>5791</v>
      </c>
      <c r="CB123" s="197" t="s">
        <v>5791</v>
      </c>
      <c r="CC123" s="197" t="s">
        <v>5791</v>
      </c>
      <c r="CD123" s="197" t="s">
        <v>5791</v>
      </c>
      <c r="CE123" s="197" t="s">
        <v>5791</v>
      </c>
      <c r="CF123" s="212" t="s">
        <v>5791</v>
      </c>
      <c r="CG123" s="32" t="s">
        <v>4449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4449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4449</v>
      </c>
      <c r="CT123" s="46">
        <v>235</v>
      </c>
      <c r="CU123" s="310">
        <v>300</v>
      </c>
      <c r="CV123" s="59">
        <v>360</v>
      </c>
      <c r="CW123" s="32">
        <v>450</v>
      </c>
      <c r="CX123" s="60">
        <v>200000</v>
      </c>
      <c r="CY123" s="201" t="s">
        <v>5791</v>
      </c>
      <c r="CZ123" s="202" t="s">
        <v>5791</v>
      </c>
      <c r="DA123" s="202" t="s">
        <v>5791</v>
      </c>
      <c r="DB123" s="203" t="s">
        <v>5791</v>
      </c>
      <c r="DC123" s="201" t="s">
        <v>5791</v>
      </c>
      <c r="DD123" s="202" t="s">
        <v>5791</v>
      </c>
      <c r="DE123" s="203" t="s">
        <v>5791</v>
      </c>
      <c r="DF123" s="274" t="s">
        <v>5791</v>
      </c>
      <c r="DG123" s="310">
        <v>8.8000000000000007</v>
      </c>
      <c r="DH123" s="310">
        <v>640</v>
      </c>
      <c r="DI123" s="32">
        <v>730</v>
      </c>
      <c r="DJ123" s="310">
        <v>800</v>
      </c>
      <c r="DK123" s="32">
        <v>940</v>
      </c>
      <c r="DL123" s="60">
        <v>200000</v>
      </c>
      <c r="DM123" s="29" t="s">
        <v>15</v>
      </c>
      <c r="DN123" s="32" t="s">
        <v>4435</v>
      </c>
      <c r="DO123" s="306" t="s">
        <v>4565</v>
      </c>
    </row>
    <row r="124" spans="1:119">
      <c r="A124" s="18">
        <v>119</v>
      </c>
      <c r="B124" s="349"/>
      <c r="C124" s="349"/>
      <c r="D124" s="360"/>
      <c r="E124" s="360"/>
      <c r="F124" s="349"/>
      <c r="G124" s="349"/>
      <c r="H124" s="349"/>
      <c r="I124" s="349"/>
      <c r="J124" s="286" t="s">
        <v>4416</v>
      </c>
      <c r="K124" s="301" t="s">
        <v>4383</v>
      </c>
      <c r="L124" s="310" t="s">
        <v>5791</v>
      </c>
      <c r="M124" s="301" t="s">
        <v>4508</v>
      </c>
      <c r="N124" s="310" t="s">
        <v>4700</v>
      </c>
      <c r="O124" s="18" t="s">
        <v>4506</v>
      </c>
      <c r="P124" s="310" t="s">
        <v>4420</v>
      </c>
      <c r="Q124" s="310" t="s">
        <v>4420</v>
      </c>
      <c r="R124" s="310" t="s">
        <v>6164</v>
      </c>
      <c r="S124" s="310">
        <v>12</v>
      </c>
      <c r="T124" s="59" t="s">
        <v>4420</v>
      </c>
      <c r="U124" s="59" t="s">
        <v>5791</v>
      </c>
      <c r="V124" s="59" t="s">
        <v>4420</v>
      </c>
      <c r="W124" s="59" t="s">
        <v>5791</v>
      </c>
      <c r="X124" s="310" t="s">
        <v>4420</v>
      </c>
      <c r="Y124" s="310" t="s">
        <v>5791</v>
      </c>
      <c r="Z124" s="310" t="s">
        <v>4558</v>
      </c>
      <c r="AA124" s="18">
        <v>10</v>
      </c>
      <c r="AB124" s="224">
        <v>0</v>
      </c>
      <c r="AC124" s="140">
        <v>0</v>
      </c>
      <c r="AD124" s="301" t="s">
        <v>4344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1" t="s">
        <v>4210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1" t="s">
        <v>5806</v>
      </c>
      <c r="AX124" s="59" t="s">
        <v>6129</v>
      </c>
      <c r="AY124" s="310">
        <v>25</v>
      </c>
      <c r="AZ124" s="310">
        <v>20</v>
      </c>
      <c r="BA124" s="310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4420</v>
      </c>
      <c r="BH124" s="310" t="s">
        <v>4465</v>
      </c>
      <c r="BI124" s="310" t="s">
        <v>6204</v>
      </c>
      <c r="BJ124" s="310">
        <v>4</v>
      </c>
      <c r="BK124" s="310">
        <v>6</v>
      </c>
      <c r="BL124" s="196" t="s">
        <v>5791</v>
      </c>
      <c r="BM124" s="197" t="s">
        <v>5791</v>
      </c>
      <c r="BN124" s="197" t="s">
        <v>5791</v>
      </c>
      <c r="BO124" s="197" t="s">
        <v>5791</v>
      </c>
      <c r="BP124" s="197" t="s">
        <v>5791</v>
      </c>
      <c r="BQ124" s="197" t="s">
        <v>5791</v>
      </c>
      <c r="BR124" s="197" t="s">
        <v>5791</v>
      </c>
      <c r="BS124" s="197" t="s">
        <v>5791</v>
      </c>
      <c r="BT124" s="196" t="s">
        <v>5791</v>
      </c>
      <c r="BU124" s="197" t="s">
        <v>5791</v>
      </c>
      <c r="BV124" s="197" t="s">
        <v>5791</v>
      </c>
      <c r="BW124" s="197" t="s">
        <v>5791</v>
      </c>
      <c r="BX124" s="197" t="s">
        <v>5791</v>
      </c>
      <c r="BY124" s="197" t="s">
        <v>5791</v>
      </c>
      <c r="BZ124" s="212" t="s">
        <v>5791</v>
      </c>
      <c r="CA124" s="197" t="s">
        <v>5791</v>
      </c>
      <c r="CB124" s="197" t="s">
        <v>5791</v>
      </c>
      <c r="CC124" s="197" t="s">
        <v>5791</v>
      </c>
      <c r="CD124" s="197" t="s">
        <v>5791</v>
      </c>
      <c r="CE124" s="197" t="s">
        <v>5791</v>
      </c>
      <c r="CF124" s="212" t="s">
        <v>5791</v>
      </c>
      <c r="CG124" s="32" t="s">
        <v>4449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4449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4449</v>
      </c>
      <c r="CT124" s="46">
        <v>235</v>
      </c>
      <c r="CU124" s="310">
        <v>300</v>
      </c>
      <c r="CV124" s="59">
        <v>360</v>
      </c>
      <c r="CW124" s="32">
        <v>450</v>
      </c>
      <c r="CX124" s="60">
        <v>200000</v>
      </c>
      <c r="CY124" s="201" t="s">
        <v>5791</v>
      </c>
      <c r="CZ124" s="202" t="s">
        <v>5791</v>
      </c>
      <c r="DA124" s="202" t="s">
        <v>5791</v>
      </c>
      <c r="DB124" s="203" t="s">
        <v>5791</v>
      </c>
      <c r="DC124" s="201" t="s">
        <v>5791</v>
      </c>
      <c r="DD124" s="202" t="s">
        <v>5791</v>
      </c>
      <c r="DE124" s="203" t="s">
        <v>5791</v>
      </c>
      <c r="DF124" s="274" t="s">
        <v>5791</v>
      </c>
      <c r="DG124" s="310">
        <v>8.8000000000000007</v>
      </c>
      <c r="DH124" s="310">
        <v>640</v>
      </c>
      <c r="DI124" s="32">
        <v>730</v>
      </c>
      <c r="DJ124" s="310">
        <v>800</v>
      </c>
      <c r="DK124" s="32">
        <v>940</v>
      </c>
      <c r="DL124" s="60">
        <v>200000</v>
      </c>
      <c r="DM124" s="29" t="s">
        <v>15</v>
      </c>
      <c r="DN124" s="32" t="s">
        <v>4435</v>
      </c>
      <c r="DO124" s="306" t="s">
        <v>4565</v>
      </c>
    </row>
    <row r="125" spans="1:119">
      <c r="A125" s="18">
        <v>120</v>
      </c>
      <c r="B125" s="349"/>
      <c r="C125" s="349"/>
      <c r="D125" s="360"/>
      <c r="E125" s="360"/>
      <c r="F125" s="349"/>
      <c r="G125" s="349"/>
      <c r="H125" s="349"/>
      <c r="I125" s="349"/>
      <c r="J125" s="286" t="s">
        <v>4419</v>
      </c>
      <c r="K125" s="301" t="s">
        <v>4383</v>
      </c>
      <c r="L125" s="310" t="s">
        <v>5791</v>
      </c>
      <c r="M125" s="301" t="s">
        <v>4508</v>
      </c>
      <c r="N125" s="310" t="s">
        <v>4700</v>
      </c>
      <c r="O125" s="18" t="s">
        <v>4506</v>
      </c>
      <c r="P125" s="310" t="s">
        <v>4420</v>
      </c>
      <c r="Q125" s="310" t="s">
        <v>4420</v>
      </c>
      <c r="R125" s="310" t="s">
        <v>6164</v>
      </c>
      <c r="S125" s="310">
        <v>12</v>
      </c>
      <c r="T125" s="59" t="s">
        <v>4420</v>
      </c>
      <c r="U125" s="59" t="s">
        <v>5791</v>
      </c>
      <c r="V125" s="59" t="s">
        <v>4420</v>
      </c>
      <c r="W125" s="59" t="s">
        <v>5791</v>
      </c>
      <c r="X125" s="310" t="s">
        <v>4420</v>
      </c>
      <c r="Y125" s="310" t="s">
        <v>5791</v>
      </c>
      <c r="Z125" s="310" t="s">
        <v>4558</v>
      </c>
      <c r="AA125" s="18">
        <v>10</v>
      </c>
      <c r="AB125" s="224">
        <v>0</v>
      </c>
      <c r="AC125" s="140">
        <v>0</v>
      </c>
      <c r="AD125" s="301" t="s">
        <v>4344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1" t="s">
        <v>4210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1" t="s">
        <v>5806</v>
      </c>
      <c r="AX125" s="59" t="s">
        <v>6129</v>
      </c>
      <c r="AY125" s="310">
        <v>100</v>
      </c>
      <c r="AZ125" s="310">
        <v>20</v>
      </c>
      <c r="BA125" s="310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4420</v>
      </c>
      <c r="BH125" s="310" t="s">
        <v>4465</v>
      </c>
      <c r="BI125" s="310" t="s">
        <v>6204</v>
      </c>
      <c r="BJ125" s="310">
        <v>4</v>
      </c>
      <c r="BK125" s="310">
        <v>6</v>
      </c>
      <c r="BL125" s="196" t="s">
        <v>5791</v>
      </c>
      <c r="BM125" s="197" t="s">
        <v>5791</v>
      </c>
      <c r="BN125" s="197" t="s">
        <v>5791</v>
      </c>
      <c r="BO125" s="197" t="s">
        <v>5791</v>
      </c>
      <c r="BP125" s="197" t="s">
        <v>5791</v>
      </c>
      <c r="BQ125" s="197" t="s">
        <v>5791</v>
      </c>
      <c r="BR125" s="197" t="s">
        <v>5791</v>
      </c>
      <c r="BS125" s="197" t="s">
        <v>5791</v>
      </c>
      <c r="BT125" s="196" t="s">
        <v>5791</v>
      </c>
      <c r="BU125" s="197" t="s">
        <v>5791</v>
      </c>
      <c r="BV125" s="197" t="s">
        <v>5791</v>
      </c>
      <c r="BW125" s="197" t="s">
        <v>5791</v>
      </c>
      <c r="BX125" s="197" t="s">
        <v>5791</v>
      </c>
      <c r="BY125" s="197" t="s">
        <v>5791</v>
      </c>
      <c r="BZ125" s="212" t="s">
        <v>5791</v>
      </c>
      <c r="CA125" s="197" t="s">
        <v>5791</v>
      </c>
      <c r="CB125" s="197" t="s">
        <v>5791</v>
      </c>
      <c r="CC125" s="197" t="s">
        <v>5791</v>
      </c>
      <c r="CD125" s="197" t="s">
        <v>5791</v>
      </c>
      <c r="CE125" s="197" t="s">
        <v>5791</v>
      </c>
      <c r="CF125" s="212" t="s">
        <v>5791</v>
      </c>
      <c r="CG125" s="32" t="s">
        <v>4449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4449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4449</v>
      </c>
      <c r="CT125" s="46">
        <v>235</v>
      </c>
      <c r="CU125" s="310">
        <v>300</v>
      </c>
      <c r="CV125" s="59">
        <v>360</v>
      </c>
      <c r="CW125" s="32">
        <v>450</v>
      </c>
      <c r="CX125" s="60">
        <v>200000</v>
      </c>
      <c r="CY125" s="201" t="s">
        <v>5791</v>
      </c>
      <c r="CZ125" s="202" t="s">
        <v>5791</v>
      </c>
      <c r="DA125" s="202" t="s">
        <v>5791</v>
      </c>
      <c r="DB125" s="203" t="s">
        <v>5791</v>
      </c>
      <c r="DC125" s="201" t="s">
        <v>5791</v>
      </c>
      <c r="DD125" s="202" t="s">
        <v>5791</v>
      </c>
      <c r="DE125" s="203" t="s">
        <v>5791</v>
      </c>
      <c r="DF125" s="274" t="s">
        <v>5791</v>
      </c>
      <c r="DG125" s="310">
        <v>8.8000000000000007</v>
      </c>
      <c r="DH125" s="310">
        <v>640</v>
      </c>
      <c r="DI125" s="32">
        <v>730</v>
      </c>
      <c r="DJ125" s="310">
        <v>800</v>
      </c>
      <c r="DK125" s="32">
        <v>940</v>
      </c>
      <c r="DL125" s="60">
        <v>200000</v>
      </c>
      <c r="DM125" s="29" t="s">
        <v>15</v>
      </c>
      <c r="DN125" s="32" t="s">
        <v>4435</v>
      </c>
      <c r="DO125" s="306" t="s">
        <v>4565</v>
      </c>
    </row>
    <row r="126" spans="1:119">
      <c r="A126" s="18">
        <v>121</v>
      </c>
      <c r="B126" s="349"/>
      <c r="C126" s="349"/>
      <c r="D126" s="360"/>
      <c r="E126" s="360"/>
      <c r="F126" s="349"/>
      <c r="G126" s="349"/>
      <c r="H126" s="349"/>
      <c r="I126" s="349"/>
      <c r="J126" s="286" t="s">
        <v>4480</v>
      </c>
      <c r="K126" s="301" t="s">
        <v>4383</v>
      </c>
      <c r="L126" s="310" t="s">
        <v>5791</v>
      </c>
      <c r="M126" s="301" t="s">
        <v>4508</v>
      </c>
      <c r="N126" s="310" t="s">
        <v>4700</v>
      </c>
      <c r="O126" s="18" t="s">
        <v>4506</v>
      </c>
      <c r="P126" s="310" t="s">
        <v>4420</v>
      </c>
      <c r="Q126" s="310" t="s">
        <v>4420</v>
      </c>
      <c r="R126" s="310" t="s">
        <v>6164</v>
      </c>
      <c r="S126" s="310">
        <v>12</v>
      </c>
      <c r="T126" s="59" t="s">
        <v>4420</v>
      </c>
      <c r="U126" s="59" t="s">
        <v>5791</v>
      </c>
      <c r="V126" s="59" t="s">
        <v>4420</v>
      </c>
      <c r="W126" s="59" t="s">
        <v>5791</v>
      </c>
      <c r="X126" s="310" t="s">
        <v>4420</v>
      </c>
      <c r="Y126" s="310" t="s">
        <v>5791</v>
      </c>
      <c r="Z126" s="310" t="s">
        <v>4558</v>
      </c>
      <c r="AA126" s="18">
        <v>10</v>
      </c>
      <c r="AB126" s="224">
        <v>0</v>
      </c>
      <c r="AC126" s="140">
        <v>0</v>
      </c>
      <c r="AD126" s="301" t="s">
        <v>4344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1" t="s">
        <v>4210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1" t="s">
        <v>5806</v>
      </c>
      <c r="AX126" s="59" t="s">
        <v>6129</v>
      </c>
      <c r="AY126" s="310">
        <v>100</v>
      </c>
      <c r="AZ126" s="310">
        <v>20</v>
      </c>
      <c r="BA126" s="310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4420</v>
      </c>
      <c r="BH126" s="310" t="s">
        <v>4465</v>
      </c>
      <c r="BI126" s="310" t="s">
        <v>6204</v>
      </c>
      <c r="BJ126" s="310">
        <v>4</v>
      </c>
      <c r="BK126" s="310">
        <v>6</v>
      </c>
      <c r="BL126" s="196" t="s">
        <v>5791</v>
      </c>
      <c r="BM126" s="197" t="s">
        <v>5791</v>
      </c>
      <c r="BN126" s="197" t="s">
        <v>5791</v>
      </c>
      <c r="BO126" s="197" t="s">
        <v>5791</v>
      </c>
      <c r="BP126" s="197" t="s">
        <v>5791</v>
      </c>
      <c r="BQ126" s="197" t="s">
        <v>5791</v>
      </c>
      <c r="BR126" s="197" t="s">
        <v>5791</v>
      </c>
      <c r="BS126" s="197" t="s">
        <v>5791</v>
      </c>
      <c r="BT126" s="196" t="s">
        <v>5791</v>
      </c>
      <c r="BU126" s="197" t="s">
        <v>5791</v>
      </c>
      <c r="BV126" s="197" t="s">
        <v>5791</v>
      </c>
      <c r="BW126" s="197" t="s">
        <v>5791</v>
      </c>
      <c r="BX126" s="197" t="s">
        <v>5791</v>
      </c>
      <c r="BY126" s="197" t="s">
        <v>5791</v>
      </c>
      <c r="BZ126" s="212" t="s">
        <v>5791</v>
      </c>
      <c r="CA126" s="197" t="s">
        <v>5791</v>
      </c>
      <c r="CB126" s="197" t="s">
        <v>5791</v>
      </c>
      <c r="CC126" s="197" t="s">
        <v>5791</v>
      </c>
      <c r="CD126" s="197" t="s">
        <v>5791</v>
      </c>
      <c r="CE126" s="197" t="s">
        <v>5791</v>
      </c>
      <c r="CF126" s="212" t="s">
        <v>5791</v>
      </c>
      <c r="CG126" s="32" t="s">
        <v>4449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4449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4449</v>
      </c>
      <c r="CT126" s="46">
        <v>235</v>
      </c>
      <c r="CU126" s="310">
        <v>300</v>
      </c>
      <c r="CV126" s="59">
        <v>360</v>
      </c>
      <c r="CW126" s="32">
        <v>450</v>
      </c>
      <c r="CX126" s="60">
        <v>200000</v>
      </c>
      <c r="CY126" s="201" t="s">
        <v>5791</v>
      </c>
      <c r="CZ126" s="202" t="s">
        <v>5791</v>
      </c>
      <c r="DA126" s="202" t="s">
        <v>5791</v>
      </c>
      <c r="DB126" s="203" t="s">
        <v>5791</v>
      </c>
      <c r="DC126" s="201" t="s">
        <v>5791</v>
      </c>
      <c r="DD126" s="202" t="s">
        <v>5791</v>
      </c>
      <c r="DE126" s="203" t="s">
        <v>5791</v>
      </c>
      <c r="DF126" s="274" t="s">
        <v>5791</v>
      </c>
      <c r="DG126" s="310">
        <v>8.8000000000000007</v>
      </c>
      <c r="DH126" s="310">
        <v>640</v>
      </c>
      <c r="DI126" s="32">
        <v>730</v>
      </c>
      <c r="DJ126" s="310">
        <v>800</v>
      </c>
      <c r="DK126" s="32">
        <v>940</v>
      </c>
      <c r="DL126" s="60">
        <v>200000</v>
      </c>
      <c r="DM126" s="29" t="s">
        <v>15</v>
      </c>
      <c r="DN126" s="32" t="s">
        <v>4435</v>
      </c>
      <c r="DO126" s="306" t="s">
        <v>4565</v>
      </c>
    </row>
    <row r="127" spans="1:119" ht="16.2" thickBot="1">
      <c r="A127" s="14">
        <v>122</v>
      </c>
      <c r="B127" s="349"/>
      <c r="C127" s="349"/>
      <c r="D127" s="360"/>
      <c r="E127" s="360"/>
      <c r="F127" s="349"/>
      <c r="G127" s="349"/>
      <c r="H127" s="349"/>
      <c r="I127" s="349"/>
      <c r="J127" s="285" t="s">
        <v>4481</v>
      </c>
      <c r="K127" s="308" t="s">
        <v>4383</v>
      </c>
      <c r="L127" s="311" t="s">
        <v>5791</v>
      </c>
      <c r="M127" s="308" t="s">
        <v>4508</v>
      </c>
      <c r="N127" s="311" t="s">
        <v>4700</v>
      </c>
      <c r="O127" s="14" t="s">
        <v>4506</v>
      </c>
      <c r="P127" s="311" t="s">
        <v>4420</v>
      </c>
      <c r="Q127" s="311" t="s">
        <v>4420</v>
      </c>
      <c r="R127" s="311" t="s">
        <v>6164</v>
      </c>
      <c r="S127" s="311">
        <v>12</v>
      </c>
      <c r="T127" s="86" t="s">
        <v>4420</v>
      </c>
      <c r="U127" s="86" t="s">
        <v>5791</v>
      </c>
      <c r="V127" s="86" t="s">
        <v>4420</v>
      </c>
      <c r="W127" s="86" t="s">
        <v>5791</v>
      </c>
      <c r="X127" s="311" t="s">
        <v>4420</v>
      </c>
      <c r="Y127" s="311" t="s">
        <v>5791</v>
      </c>
      <c r="Z127" s="311" t="s">
        <v>4558</v>
      </c>
      <c r="AA127" s="14">
        <v>10</v>
      </c>
      <c r="AB127" s="226">
        <v>0</v>
      </c>
      <c r="AC127" s="153">
        <v>0</v>
      </c>
      <c r="AD127" s="308" t="s">
        <v>4344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8" t="s">
        <v>4210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8" t="s">
        <v>5806</v>
      </c>
      <c r="AX127" s="86" t="s">
        <v>6129</v>
      </c>
      <c r="AY127" s="311">
        <v>100</v>
      </c>
      <c r="AZ127" s="311">
        <v>20</v>
      </c>
      <c r="BA127" s="311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4420</v>
      </c>
      <c r="BH127" s="23" t="s">
        <v>4465</v>
      </c>
      <c r="BI127" s="311" t="s">
        <v>6204</v>
      </c>
      <c r="BJ127" s="311">
        <v>4</v>
      </c>
      <c r="BK127" s="311">
        <v>6</v>
      </c>
      <c r="BL127" s="191" t="s">
        <v>5791</v>
      </c>
      <c r="BM127" s="192" t="s">
        <v>5791</v>
      </c>
      <c r="BN127" s="192" t="s">
        <v>5791</v>
      </c>
      <c r="BO127" s="192" t="s">
        <v>5791</v>
      </c>
      <c r="BP127" s="192" t="s">
        <v>5791</v>
      </c>
      <c r="BQ127" s="192" t="s">
        <v>5791</v>
      </c>
      <c r="BR127" s="192" t="s">
        <v>5791</v>
      </c>
      <c r="BS127" s="192" t="s">
        <v>5791</v>
      </c>
      <c r="BT127" s="191" t="s">
        <v>5791</v>
      </c>
      <c r="BU127" s="192" t="s">
        <v>5791</v>
      </c>
      <c r="BV127" s="192" t="s">
        <v>5791</v>
      </c>
      <c r="BW127" s="192" t="s">
        <v>5791</v>
      </c>
      <c r="BX127" s="192" t="s">
        <v>5791</v>
      </c>
      <c r="BY127" s="192" t="s">
        <v>5791</v>
      </c>
      <c r="BZ127" s="214" t="s">
        <v>5791</v>
      </c>
      <c r="CA127" s="192" t="s">
        <v>5791</v>
      </c>
      <c r="CB127" s="192" t="s">
        <v>5791</v>
      </c>
      <c r="CC127" s="192" t="s">
        <v>5791</v>
      </c>
      <c r="CD127" s="192" t="s">
        <v>5791</v>
      </c>
      <c r="CE127" s="192" t="s">
        <v>5791</v>
      </c>
      <c r="CF127" s="214" t="s">
        <v>5791</v>
      </c>
      <c r="CG127" s="34" t="s">
        <v>4449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4449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4449</v>
      </c>
      <c r="CT127" s="84">
        <v>235</v>
      </c>
      <c r="CU127" s="311">
        <v>300</v>
      </c>
      <c r="CV127" s="86">
        <v>360</v>
      </c>
      <c r="CW127" s="34">
        <v>450</v>
      </c>
      <c r="CX127" s="76">
        <v>200000</v>
      </c>
      <c r="CY127" s="204" t="s">
        <v>5791</v>
      </c>
      <c r="CZ127" s="205" t="s">
        <v>5791</v>
      </c>
      <c r="DA127" s="205" t="s">
        <v>5791</v>
      </c>
      <c r="DB127" s="206" t="s">
        <v>5791</v>
      </c>
      <c r="DC127" s="204" t="s">
        <v>5791</v>
      </c>
      <c r="DD127" s="205" t="s">
        <v>5791</v>
      </c>
      <c r="DE127" s="206" t="s">
        <v>5791</v>
      </c>
      <c r="DF127" s="275" t="s">
        <v>5791</v>
      </c>
      <c r="DG127" s="311">
        <v>8.8000000000000007</v>
      </c>
      <c r="DH127" s="311">
        <v>640</v>
      </c>
      <c r="DI127" s="34">
        <v>730</v>
      </c>
      <c r="DJ127" s="311">
        <v>800</v>
      </c>
      <c r="DK127" s="34">
        <v>940</v>
      </c>
      <c r="DL127" s="76">
        <v>200000</v>
      </c>
      <c r="DM127" s="27" t="s">
        <v>15</v>
      </c>
      <c r="DN127" s="34" t="s">
        <v>4435</v>
      </c>
      <c r="DO127" s="307" t="s">
        <v>4565</v>
      </c>
    </row>
    <row r="128" spans="1:119" ht="15.6" customHeight="1">
      <c r="A128" s="18">
        <v>123</v>
      </c>
      <c r="B128" s="368">
        <v>15</v>
      </c>
      <c r="C128" s="368">
        <v>1987</v>
      </c>
      <c r="D128" s="359" t="s">
        <v>4669</v>
      </c>
      <c r="E128" s="359" t="s">
        <v>4863</v>
      </c>
      <c r="F128" s="381">
        <v>3</v>
      </c>
      <c r="G128" s="368" t="s">
        <v>5908</v>
      </c>
      <c r="H128" s="368" t="s">
        <v>5901</v>
      </c>
      <c r="I128" s="368" t="s">
        <v>6225</v>
      </c>
      <c r="J128" s="286" t="s">
        <v>4426</v>
      </c>
      <c r="K128" s="300" t="s">
        <v>4383</v>
      </c>
      <c r="L128" s="310" t="s">
        <v>5791</v>
      </c>
      <c r="M128" s="301" t="s">
        <v>4507</v>
      </c>
      <c r="N128" s="310" t="s">
        <v>4700</v>
      </c>
      <c r="O128" s="18" t="s">
        <v>4505</v>
      </c>
      <c r="P128" s="310" t="s">
        <v>6317</v>
      </c>
      <c r="Q128" s="310" t="s">
        <v>4420</v>
      </c>
      <c r="R128" s="310" t="s">
        <v>6317</v>
      </c>
      <c r="S128" s="310" t="s">
        <v>5791</v>
      </c>
      <c r="T128" s="59" t="s">
        <v>4420</v>
      </c>
      <c r="U128" s="59" t="s">
        <v>5791</v>
      </c>
      <c r="V128" s="59" t="s">
        <v>4420</v>
      </c>
      <c r="W128" s="59" t="s">
        <v>5791</v>
      </c>
      <c r="X128" s="310" t="s">
        <v>4420</v>
      </c>
      <c r="Y128" s="310" t="s">
        <v>5791</v>
      </c>
      <c r="Z128" s="310" t="s">
        <v>6049</v>
      </c>
      <c r="AA128" s="18">
        <v>4</v>
      </c>
      <c r="AB128" s="224">
        <v>0</v>
      </c>
      <c r="AC128" s="18">
        <v>0</v>
      </c>
      <c r="AD128" s="156" t="s">
        <v>4336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4205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1" t="s">
        <v>5806</v>
      </c>
      <c r="AX128" s="10" t="s">
        <v>4499</v>
      </c>
      <c r="AY128" s="310">
        <v>160</v>
      </c>
      <c r="AZ128" s="310">
        <v>16</v>
      </c>
      <c r="BA128" s="310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6317</v>
      </c>
      <c r="BH128" s="21" t="s">
        <v>4465</v>
      </c>
      <c r="BI128" s="310" t="s">
        <v>6204</v>
      </c>
      <c r="BJ128" s="310">
        <v>4</v>
      </c>
      <c r="BK128" s="10">
        <v>6</v>
      </c>
      <c r="BL128" s="196" t="s">
        <v>5791</v>
      </c>
      <c r="BM128" s="197" t="s">
        <v>5791</v>
      </c>
      <c r="BN128" s="197" t="s">
        <v>5791</v>
      </c>
      <c r="BO128" s="197" t="s">
        <v>5791</v>
      </c>
      <c r="BP128" s="197" t="s">
        <v>5791</v>
      </c>
      <c r="BQ128" s="197" t="s">
        <v>5791</v>
      </c>
      <c r="BR128" s="197" t="s">
        <v>5791</v>
      </c>
      <c r="BS128" s="197" t="s">
        <v>5791</v>
      </c>
      <c r="BT128" s="196" t="s">
        <v>5791</v>
      </c>
      <c r="BU128" s="197" t="s">
        <v>5791</v>
      </c>
      <c r="BV128" s="197" t="s">
        <v>5791</v>
      </c>
      <c r="BW128" s="197" t="s">
        <v>5791</v>
      </c>
      <c r="BX128" s="197" t="s">
        <v>5791</v>
      </c>
      <c r="BY128" s="197" t="s">
        <v>5791</v>
      </c>
      <c r="BZ128" s="212" t="s">
        <v>5791</v>
      </c>
      <c r="CA128" s="197" t="s">
        <v>5791</v>
      </c>
      <c r="CB128" s="197" t="s">
        <v>5791</v>
      </c>
      <c r="CC128" s="197" t="s">
        <v>5791</v>
      </c>
      <c r="CD128" s="197" t="s">
        <v>5791</v>
      </c>
      <c r="CE128" s="197" t="s">
        <v>5791</v>
      </c>
      <c r="CF128" s="212" t="s">
        <v>5791</v>
      </c>
      <c r="CG128" s="310" t="s">
        <v>6319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10" t="s">
        <v>6319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10" t="s">
        <v>6319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5791</v>
      </c>
      <c r="CZ128" s="202" t="s">
        <v>5791</v>
      </c>
      <c r="DA128" s="202" t="s">
        <v>5791</v>
      </c>
      <c r="DB128" s="203" t="s">
        <v>5791</v>
      </c>
      <c r="DC128" s="201" t="s">
        <v>5791</v>
      </c>
      <c r="DD128" s="202" t="s">
        <v>5791</v>
      </c>
      <c r="DE128" s="203" t="s">
        <v>5791</v>
      </c>
      <c r="DF128" s="274" t="s">
        <v>5791</v>
      </c>
      <c r="DG128" s="10">
        <v>4.5999999999999996</v>
      </c>
      <c r="DH128" s="10">
        <v>240</v>
      </c>
      <c r="DI128" s="32">
        <v>260</v>
      </c>
      <c r="DJ128" s="10">
        <v>400</v>
      </c>
      <c r="DK128" s="32">
        <v>440</v>
      </c>
      <c r="DL128" s="60">
        <v>200000</v>
      </c>
      <c r="DM128" s="29" t="s">
        <v>4769</v>
      </c>
      <c r="DN128" s="309" t="s">
        <v>6053</v>
      </c>
      <c r="DO128" s="305" t="s">
        <v>4565</v>
      </c>
    </row>
    <row r="129" spans="1:119">
      <c r="A129" s="18">
        <v>124</v>
      </c>
      <c r="B129" s="369"/>
      <c r="C129" s="369"/>
      <c r="D129" s="360"/>
      <c r="E129" s="360"/>
      <c r="F129" s="382"/>
      <c r="G129" s="369"/>
      <c r="H129" s="369"/>
      <c r="I129" s="369"/>
      <c r="J129" s="286" t="s">
        <v>4427</v>
      </c>
      <c r="K129" s="301" t="s">
        <v>4383</v>
      </c>
      <c r="L129" s="310" t="s">
        <v>5791</v>
      </c>
      <c r="M129" s="301" t="s">
        <v>4507</v>
      </c>
      <c r="N129" s="310" t="s">
        <v>4700</v>
      </c>
      <c r="O129" s="18" t="s">
        <v>4505</v>
      </c>
      <c r="P129" s="310" t="s">
        <v>6317</v>
      </c>
      <c r="Q129" s="310" t="s">
        <v>4420</v>
      </c>
      <c r="R129" s="310" t="s">
        <v>6317</v>
      </c>
      <c r="S129" s="310" t="s">
        <v>5791</v>
      </c>
      <c r="T129" s="59" t="s">
        <v>4420</v>
      </c>
      <c r="U129" s="59" t="s">
        <v>5791</v>
      </c>
      <c r="V129" s="59" t="s">
        <v>4420</v>
      </c>
      <c r="W129" s="59" t="s">
        <v>5791</v>
      </c>
      <c r="X129" s="310" t="s">
        <v>4420</v>
      </c>
      <c r="Y129" s="310" t="s">
        <v>5791</v>
      </c>
      <c r="Z129" s="310" t="s">
        <v>6049</v>
      </c>
      <c r="AA129" s="18">
        <v>4</v>
      </c>
      <c r="AB129" s="224">
        <v>0</v>
      </c>
      <c r="AC129" s="18">
        <v>0</v>
      </c>
      <c r="AD129" s="156" t="s">
        <v>4336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4205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1" t="s">
        <v>5806</v>
      </c>
      <c r="AX129" s="310" t="s">
        <v>4499</v>
      </c>
      <c r="AY129" s="310">
        <v>160</v>
      </c>
      <c r="AZ129" s="310">
        <v>16</v>
      </c>
      <c r="BA129" s="310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6317</v>
      </c>
      <c r="BH129" s="21" t="s">
        <v>4465</v>
      </c>
      <c r="BI129" s="310" t="s">
        <v>6204</v>
      </c>
      <c r="BJ129" s="310">
        <v>4</v>
      </c>
      <c r="BK129" s="10">
        <v>6</v>
      </c>
      <c r="BL129" s="196" t="s">
        <v>5791</v>
      </c>
      <c r="BM129" s="197" t="s">
        <v>5791</v>
      </c>
      <c r="BN129" s="197" t="s">
        <v>5791</v>
      </c>
      <c r="BO129" s="197" t="s">
        <v>5791</v>
      </c>
      <c r="BP129" s="197" t="s">
        <v>5791</v>
      </c>
      <c r="BQ129" s="197" t="s">
        <v>5791</v>
      </c>
      <c r="BR129" s="197" t="s">
        <v>5791</v>
      </c>
      <c r="BS129" s="197" t="s">
        <v>5791</v>
      </c>
      <c r="BT129" s="196" t="s">
        <v>5791</v>
      </c>
      <c r="BU129" s="197" t="s">
        <v>5791</v>
      </c>
      <c r="BV129" s="197" t="s">
        <v>5791</v>
      </c>
      <c r="BW129" s="197" t="s">
        <v>5791</v>
      </c>
      <c r="BX129" s="197" t="s">
        <v>5791</v>
      </c>
      <c r="BY129" s="197" t="s">
        <v>5791</v>
      </c>
      <c r="BZ129" s="212" t="s">
        <v>5791</v>
      </c>
      <c r="CA129" s="197" t="s">
        <v>5791</v>
      </c>
      <c r="CB129" s="197" t="s">
        <v>5791</v>
      </c>
      <c r="CC129" s="197" t="s">
        <v>5791</v>
      </c>
      <c r="CD129" s="197" t="s">
        <v>5791</v>
      </c>
      <c r="CE129" s="197" t="s">
        <v>5791</v>
      </c>
      <c r="CF129" s="212" t="s">
        <v>5791</v>
      </c>
      <c r="CG129" s="310" t="s">
        <v>6319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10" t="s">
        <v>6319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10" t="s">
        <v>6319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5791</v>
      </c>
      <c r="CZ129" s="202" t="s">
        <v>5791</v>
      </c>
      <c r="DA129" s="202" t="s">
        <v>5791</v>
      </c>
      <c r="DB129" s="203" t="s">
        <v>5791</v>
      </c>
      <c r="DC129" s="201" t="s">
        <v>5791</v>
      </c>
      <c r="DD129" s="202" t="s">
        <v>5791</v>
      </c>
      <c r="DE129" s="203" t="s">
        <v>5791</v>
      </c>
      <c r="DF129" s="274" t="s">
        <v>5791</v>
      </c>
      <c r="DG129" s="10">
        <v>4.5999999999999996</v>
      </c>
      <c r="DH129" s="10">
        <v>240</v>
      </c>
      <c r="DI129" s="32">
        <v>260</v>
      </c>
      <c r="DJ129" s="10">
        <v>400</v>
      </c>
      <c r="DK129" s="32">
        <v>440</v>
      </c>
      <c r="DL129" s="60">
        <v>200000</v>
      </c>
      <c r="DM129" s="29" t="s">
        <v>4758</v>
      </c>
      <c r="DN129" s="310" t="s">
        <v>6053</v>
      </c>
      <c r="DO129" s="306" t="s">
        <v>4565</v>
      </c>
    </row>
    <row r="130" spans="1:119" ht="16.2" thickBot="1">
      <c r="A130" s="18">
        <v>125</v>
      </c>
      <c r="B130" s="370"/>
      <c r="C130" s="370"/>
      <c r="D130" s="372"/>
      <c r="E130" s="372"/>
      <c r="F130" s="383"/>
      <c r="G130" s="370"/>
      <c r="H130" s="370"/>
      <c r="I130" s="370"/>
      <c r="J130" s="286" t="s">
        <v>4428</v>
      </c>
      <c r="K130" s="301" t="s">
        <v>4383</v>
      </c>
      <c r="L130" s="310" t="s">
        <v>5791</v>
      </c>
      <c r="M130" s="301" t="s">
        <v>4507</v>
      </c>
      <c r="N130" s="310" t="s">
        <v>4700</v>
      </c>
      <c r="O130" s="18" t="s">
        <v>4506</v>
      </c>
      <c r="P130" s="310" t="s">
        <v>6317</v>
      </c>
      <c r="Q130" s="310" t="s">
        <v>4420</v>
      </c>
      <c r="R130" s="310" t="s">
        <v>6317</v>
      </c>
      <c r="S130" s="310" t="s">
        <v>5791</v>
      </c>
      <c r="T130" s="59" t="s">
        <v>4420</v>
      </c>
      <c r="U130" s="59" t="s">
        <v>5791</v>
      </c>
      <c r="V130" s="59" t="s">
        <v>4420</v>
      </c>
      <c r="W130" s="59" t="s">
        <v>5791</v>
      </c>
      <c r="X130" s="310" t="s">
        <v>4420</v>
      </c>
      <c r="Y130" s="310" t="s">
        <v>5791</v>
      </c>
      <c r="Z130" s="310" t="s">
        <v>6049</v>
      </c>
      <c r="AA130" s="18">
        <v>4</v>
      </c>
      <c r="AB130" s="224">
        <v>0</v>
      </c>
      <c r="AC130" s="18">
        <v>0</v>
      </c>
      <c r="AD130" s="156" t="s">
        <v>4336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4205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1" t="s">
        <v>5806</v>
      </c>
      <c r="AX130" s="310" t="s">
        <v>4499</v>
      </c>
      <c r="AY130" s="310">
        <v>160</v>
      </c>
      <c r="AZ130" s="310">
        <v>16</v>
      </c>
      <c r="BA130" s="310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6317</v>
      </c>
      <c r="BH130" s="21" t="s">
        <v>4465</v>
      </c>
      <c r="BI130" s="310" t="s">
        <v>6204</v>
      </c>
      <c r="BJ130" s="310">
        <v>4</v>
      </c>
      <c r="BK130" s="10">
        <v>6</v>
      </c>
      <c r="BL130" s="196" t="s">
        <v>5791</v>
      </c>
      <c r="BM130" s="197" t="s">
        <v>5791</v>
      </c>
      <c r="BN130" s="197" t="s">
        <v>5791</v>
      </c>
      <c r="BO130" s="197" t="s">
        <v>5791</v>
      </c>
      <c r="BP130" s="197" t="s">
        <v>5791</v>
      </c>
      <c r="BQ130" s="197" t="s">
        <v>5791</v>
      </c>
      <c r="BR130" s="197" t="s">
        <v>5791</v>
      </c>
      <c r="BS130" s="197" t="s">
        <v>5791</v>
      </c>
      <c r="BT130" s="196" t="s">
        <v>5791</v>
      </c>
      <c r="BU130" s="197" t="s">
        <v>5791</v>
      </c>
      <c r="BV130" s="197" t="s">
        <v>5791</v>
      </c>
      <c r="BW130" s="197" t="s">
        <v>5791</v>
      </c>
      <c r="BX130" s="197" t="s">
        <v>5791</v>
      </c>
      <c r="BY130" s="197" t="s">
        <v>5791</v>
      </c>
      <c r="BZ130" s="212" t="s">
        <v>5791</v>
      </c>
      <c r="CA130" s="197" t="s">
        <v>5791</v>
      </c>
      <c r="CB130" s="197" t="s">
        <v>5791</v>
      </c>
      <c r="CC130" s="197" t="s">
        <v>5791</v>
      </c>
      <c r="CD130" s="197" t="s">
        <v>5791</v>
      </c>
      <c r="CE130" s="197" t="s">
        <v>5791</v>
      </c>
      <c r="CF130" s="212" t="s">
        <v>5791</v>
      </c>
      <c r="CG130" s="310" t="s">
        <v>6319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10" t="s">
        <v>6319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10" t="s">
        <v>6319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5791</v>
      </c>
      <c r="CZ130" s="202" t="s">
        <v>5791</v>
      </c>
      <c r="DA130" s="202" t="s">
        <v>5791</v>
      </c>
      <c r="DB130" s="203" t="s">
        <v>5791</v>
      </c>
      <c r="DC130" s="201" t="s">
        <v>5791</v>
      </c>
      <c r="DD130" s="202" t="s">
        <v>5791</v>
      </c>
      <c r="DE130" s="203" t="s">
        <v>5791</v>
      </c>
      <c r="DF130" s="274" t="s">
        <v>5791</v>
      </c>
      <c r="DG130" s="10">
        <v>4.5999999999999996</v>
      </c>
      <c r="DH130" s="10">
        <v>240</v>
      </c>
      <c r="DI130" s="32">
        <v>260</v>
      </c>
      <c r="DJ130" s="10">
        <v>400</v>
      </c>
      <c r="DK130" s="32">
        <v>440</v>
      </c>
      <c r="DL130" s="60">
        <v>200000</v>
      </c>
      <c r="DM130" s="40" t="s">
        <v>4572</v>
      </c>
      <c r="DN130" s="310" t="s">
        <v>6053</v>
      </c>
      <c r="DO130" s="306" t="s">
        <v>4565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4515</v>
      </c>
      <c r="E131" s="138" t="s">
        <v>4862</v>
      </c>
      <c r="F131" s="128">
        <v>1</v>
      </c>
      <c r="G131" s="11" t="s">
        <v>5908</v>
      </c>
      <c r="H131" s="11" t="s">
        <v>5901</v>
      </c>
      <c r="I131" s="11" t="s">
        <v>6226</v>
      </c>
      <c r="J131" s="287" t="s">
        <v>4511</v>
      </c>
      <c r="K131" s="9" t="s">
        <v>4383</v>
      </c>
      <c r="L131" s="107" t="s">
        <v>5791</v>
      </c>
      <c r="M131" s="9" t="s">
        <v>4507</v>
      </c>
      <c r="N131" s="107" t="s">
        <v>4700</v>
      </c>
      <c r="O131" s="108" t="s">
        <v>4506</v>
      </c>
      <c r="P131" s="107" t="s">
        <v>4420</v>
      </c>
      <c r="Q131" s="107" t="s">
        <v>4420</v>
      </c>
      <c r="R131" s="107" t="s">
        <v>4420</v>
      </c>
      <c r="S131" s="107" t="s">
        <v>5791</v>
      </c>
      <c r="T131" s="154" t="s">
        <v>4420</v>
      </c>
      <c r="U131" s="154" t="s">
        <v>5791</v>
      </c>
      <c r="V131" s="154" t="s">
        <v>4420</v>
      </c>
      <c r="W131" s="154" t="s">
        <v>5791</v>
      </c>
      <c r="X131" s="107" t="s">
        <v>4420</v>
      </c>
      <c r="Y131" s="107" t="s">
        <v>5791</v>
      </c>
      <c r="Z131" s="107" t="s">
        <v>4558</v>
      </c>
      <c r="AA131" s="108">
        <v>8</v>
      </c>
      <c r="AB131" s="227">
        <v>0</v>
      </c>
      <c r="AC131" s="118">
        <v>0</v>
      </c>
      <c r="AD131" s="158" t="s">
        <v>4338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4209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5806</v>
      </c>
      <c r="AX131" s="107" t="s">
        <v>4498</v>
      </c>
      <c r="AY131" s="107" t="s">
        <v>6129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4420</v>
      </c>
      <c r="BH131" s="107" t="s">
        <v>4465</v>
      </c>
      <c r="BI131" s="107" t="s">
        <v>6204</v>
      </c>
      <c r="BJ131" s="107">
        <v>4</v>
      </c>
      <c r="BK131" s="125">
        <v>6</v>
      </c>
      <c r="BL131" s="215" t="s">
        <v>5791</v>
      </c>
      <c r="BM131" s="216" t="s">
        <v>5791</v>
      </c>
      <c r="BN131" s="216" t="s">
        <v>5791</v>
      </c>
      <c r="BO131" s="216" t="s">
        <v>5791</v>
      </c>
      <c r="BP131" s="216" t="s">
        <v>5791</v>
      </c>
      <c r="BQ131" s="216" t="s">
        <v>5791</v>
      </c>
      <c r="BR131" s="216" t="s">
        <v>5791</v>
      </c>
      <c r="BS131" s="216" t="s">
        <v>5791</v>
      </c>
      <c r="BT131" s="215" t="s">
        <v>5791</v>
      </c>
      <c r="BU131" s="216" t="s">
        <v>5791</v>
      </c>
      <c r="BV131" s="216" t="s">
        <v>5791</v>
      </c>
      <c r="BW131" s="216" t="s">
        <v>5791</v>
      </c>
      <c r="BX131" s="216" t="s">
        <v>5791</v>
      </c>
      <c r="BY131" s="216" t="s">
        <v>5791</v>
      </c>
      <c r="BZ131" s="217" t="s">
        <v>5791</v>
      </c>
      <c r="CA131" s="216" t="s">
        <v>5791</v>
      </c>
      <c r="CB131" s="216" t="s">
        <v>5791</v>
      </c>
      <c r="CC131" s="216" t="s">
        <v>5791</v>
      </c>
      <c r="CD131" s="216" t="s">
        <v>5791</v>
      </c>
      <c r="CE131" s="216" t="s">
        <v>5791</v>
      </c>
      <c r="CF131" s="217" t="s">
        <v>5791</v>
      </c>
      <c r="CG131" s="112" t="s">
        <v>4450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4450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4450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5791</v>
      </c>
      <c r="CZ131" s="208" t="s">
        <v>5791</v>
      </c>
      <c r="DA131" s="208" t="s">
        <v>5791</v>
      </c>
      <c r="DB131" s="209" t="s">
        <v>5791</v>
      </c>
      <c r="DC131" s="207" t="s">
        <v>5791</v>
      </c>
      <c r="DD131" s="208" t="s">
        <v>5791</v>
      </c>
      <c r="DE131" s="209" t="s">
        <v>5791</v>
      </c>
      <c r="DF131" s="276" t="s">
        <v>5791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4764</v>
      </c>
      <c r="DN131" s="125" t="s">
        <v>4560</v>
      </c>
      <c r="DO131" s="243" t="s">
        <v>4565</v>
      </c>
    </row>
    <row r="132" spans="1:119" ht="15.6" customHeight="1">
      <c r="A132" s="17">
        <v>127</v>
      </c>
      <c r="B132" s="348">
        <v>17</v>
      </c>
      <c r="C132" s="348">
        <v>1989</v>
      </c>
      <c r="D132" s="359" t="s">
        <v>4532</v>
      </c>
      <c r="E132" s="359" t="s">
        <v>4861</v>
      </c>
      <c r="F132" s="348">
        <v>5</v>
      </c>
      <c r="G132" s="348" t="s">
        <v>5909</v>
      </c>
      <c r="H132" s="348" t="s">
        <v>5903</v>
      </c>
      <c r="I132" s="348" t="s">
        <v>6227</v>
      </c>
      <c r="J132" s="284" t="s">
        <v>4553</v>
      </c>
      <c r="K132" s="300" t="s">
        <v>4383</v>
      </c>
      <c r="L132" s="309" t="s">
        <v>5791</v>
      </c>
      <c r="M132" s="300" t="s">
        <v>4551</v>
      </c>
      <c r="N132" s="309" t="s">
        <v>4706</v>
      </c>
      <c r="O132" s="17" t="s">
        <v>4506</v>
      </c>
      <c r="P132" s="309" t="s">
        <v>4420</v>
      </c>
      <c r="Q132" s="309" t="s">
        <v>4420</v>
      </c>
      <c r="R132" s="309" t="s">
        <v>4420</v>
      </c>
      <c r="S132" s="309" t="s">
        <v>5791</v>
      </c>
      <c r="T132" s="64" t="s">
        <v>4420</v>
      </c>
      <c r="U132" s="64" t="s">
        <v>5791</v>
      </c>
      <c r="V132" s="64" t="s">
        <v>4420</v>
      </c>
      <c r="W132" s="64" t="s">
        <v>5791</v>
      </c>
      <c r="X132" s="309" t="s">
        <v>4420</v>
      </c>
      <c r="Y132" s="309" t="s">
        <v>5791</v>
      </c>
      <c r="Z132" s="309" t="s">
        <v>4558</v>
      </c>
      <c r="AA132" s="17">
        <v>6</v>
      </c>
      <c r="AB132" s="225">
        <v>0</v>
      </c>
      <c r="AC132" s="18" t="s">
        <v>5791</v>
      </c>
      <c r="AD132" s="194" t="s">
        <v>5791</v>
      </c>
      <c r="AE132" s="195" t="s">
        <v>5791</v>
      </c>
      <c r="AF132" s="195" t="s">
        <v>5791</v>
      </c>
      <c r="AG132" s="195" t="s">
        <v>5791</v>
      </c>
      <c r="AH132" s="195" t="s">
        <v>5791</v>
      </c>
      <c r="AI132" s="195" t="s">
        <v>5791</v>
      </c>
      <c r="AJ132" s="300" t="s">
        <v>5461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9">
        <v>0</v>
      </c>
      <c r="AV132" s="309">
        <v>0</v>
      </c>
      <c r="AW132" s="300" t="s">
        <v>5806</v>
      </c>
      <c r="AX132" s="309" t="s">
        <v>4552</v>
      </c>
      <c r="AY132" s="309">
        <v>169</v>
      </c>
      <c r="AZ132" s="16">
        <f>7/8*25.4</f>
        <v>22.224999999999998</v>
      </c>
      <c r="BA132" s="309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9" t="s">
        <v>4420</v>
      </c>
      <c r="BH132" s="309" t="s">
        <v>6205</v>
      </c>
      <c r="BI132" s="309" t="s">
        <v>6204</v>
      </c>
      <c r="BJ132" s="309">
        <v>6</v>
      </c>
      <c r="BK132" s="309">
        <v>8</v>
      </c>
      <c r="BL132" s="194" t="s">
        <v>5791</v>
      </c>
      <c r="BM132" s="195" t="s">
        <v>5791</v>
      </c>
      <c r="BN132" s="195" t="s">
        <v>5791</v>
      </c>
      <c r="BO132" s="195" t="s">
        <v>5791</v>
      </c>
      <c r="BP132" s="195" t="s">
        <v>5791</v>
      </c>
      <c r="BQ132" s="195" t="s">
        <v>5791</v>
      </c>
      <c r="BR132" s="195" t="s">
        <v>5791</v>
      </c>
      <c r="BS132" s="195" t="s">
        <v>5791</v>
      </c>
      <c r="BT132" s="194" t="s">
        <v>5791</v>
      </c>
      <c r="BU132" s="195" t="s">
        <v>5791</v>
      </c>
      <c r="BV132" s="195" t="s">
        <v>5791</v>
      </c>
      <c r="BW132" s="195" t="s">
        <v>5791</v>
      </c>
      <c r="BX132" s="195" t="s">
        <v>5791</v>
      </c>
      <c r="BY132" s="195" t="s">
        <v>5791</v>
      </c>
      <c r="BZ132" s="213" t="s">
        <v>5791</v>
      </c>
      <c r="CA132" s="195" t="s">
        <v>5791</v>
      </c>
      <c r="CB132" s="195" t="s">
        <v>5791</v>
      </c>
      <c r="CC132" s="195" t="s">
        <v>5791</v>
      </c>
      <c r="CD132" s="195" t="s">
        <v>5791</v>
      </c>
      <c r="CE132" s="195" t="s">
        <v>5791</v>
      </c>
      <c r="CF132" s="213" t="s">
        <v>5791</v>
      </c>
      <c r="CG132" s="195" t="s">
        <v>5791</v>
      </c>
      <c r="CH132" s="195" t="s">
        <v>5791</v>
      </c>
      <c r="CI132" s="195" t="s">
        <v>5791</v>
      </c>
      <c r="CJ132" s="195" t="s">
        <v>5791</v>
      </c>
      <c r="CK132" s="195" t="s">
        <v>5791</v>
      </c>
      <c r="CL132" s="200" t="s">
        <v>5791</v>
      </c>
      <c r="CM132" s="300" t="s">
        <v>4535</v>
      </c>
      <c r="CN132" s="309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9" t="s">
        <v>4535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5791</v>
      </c>
      <c r="CZ132" s="199" t="s">
        <v>5791</v>
      </c>
      <c r="DA132" s="199" t="s">
        <v>5791</v>
      </c>
      <c r="DB132" s="200" t="s">
        <v>5791</v>
      </c>
      <c r="DC132" s="198" t="s">
        <v>5791</v>
      </c>
      <c r="DD132" s="199" t="s">
        <v>5791</v>
      </c>
      <c r="DE132" s="200" t="s">
        <v>5791</v>
      </c>
      <c r="DF132" s="273" t="s">
        <v>5791</v>
      </c>
      <c r="DG132" s="309" t="s">
        <v>4422</v>
      </c>
      <c r="DH132" s="309">
        <v>640</v>
      </c>
      <c r="DI132" s="30">
        <v>730</v>
      </c>
      <c r="DJ132" s="309">
        <v>800</v>
      </c>
      <c r="DK132" s="30">
        <v>940</v>
      </c>
      <c r="DL132" s="75">
        <v>200000</v>
      </c>
      <c r="DM132" s="42" t="s">
        <v>5837</v>
      </c>
      <c r="DN132" s="309" t="s">
        <v>4435</v>
      </c>
      <c r="DO132" s="305" t="s">
        <v>4565</v>
      </c>
    </row>
    <row r="133" spans="1:119">
      <c r="A133" s="18">
        <v>128</v>
      </c>
      <c r="B133" s="349"/>
      <c r="C133" s="349"/>
      <c r="D133" s="360"/>
      <c r="E133" s="360"/>
      <c r="F133" s="349"/>
      <c r="G133" s="349"/>
      <c r="H133" s="349"/>
      <c r="I133" s="349"/>
      <c r="J133" s="286" t="s">
        <v>4554</v>
      </c>
      <c r="K133" s="301" t="s">
        <v>4383</v>
      </c>
      <c r="L133" s="310" t="s">
        <v>5791</v>
      </c>
      <c r="M133" s="301" t="s">
        <v>4551</v>
      </c>
      <c r="N133" s="310" t="s">
        <v>4706</v>
      </c>
      <c r="O133" s="18" t="s">
        <v>4506</v>
      </c>
      <c r="P133" s="310" t="s">
        <v>4420</v>
      </c>
      <c r="Q133" s="310" t="s">
        <v>4420</v>
      </c>
      <c r="R133" s="310" t="s">
        <v>4420</v>
      </c>
      <c r="S133" s="310" t="s">
        <v>5791</v>
      </c>
      <c r="T133" s="59" t="s">
        <v>4420</v>
      </c>
      <c r="U133" s="59" t="s">
        <v>5791</v>
      </c>
      <c r="V133" s="59" t="s">
        <v>4420</v>
      </c>
      <c r="W133" s="59" t="s">
        <v>5791</v>
      </c>
      <c r="X133" s="310" t="s">
        <v>4420</v>
      </c>
      <c r="Y133" s="310" t="s">
        <v>5791</v>
      </c>
      <c r="Z133" s="310" t="s">
        <v>4558</v>
      </c>
      <c r="AA133" s="18">
        <v>6</v>
      </c>
      <c r="AB133" s="224">
        <v>0</v>
      </c>
      <c r="AC133" s="18" t="s">
        <v>5791</v>
      </c>
      <c r="AD133" s="196" t="s">
        <v>5791</v>
      </c>
      <c r="AE133" s="197" t="s">
        <v>5791</v>
      </c>
      <c r="AF133" s="197" t="s">
        <v>5791</v>
      </c>
      <c r="AG133" s="197" t="s">
        <v>5791</v>
      </c>
      <c r="AH133" s="197" t="s">
        <v>5791</v>
      </c>
      <c r="AI133" s="197" t="s">
        <v>5791</v>
      </c>
      <c r="AJ133" s="301" t="s">
        <v>5461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0">
        <v>0</v>
      </c>
      <c r="AV133" s="310">
        <v>0</v>
      </c>
      <c r="AW133" s="301" t="s">
        <v>5806</v>
      </c>
      <c r="AX133" s="310" t="s">
        <v>4552</v>
      </c>
      <c r="AY133" s="310">
        <v>227</v>
      </c>
      <c r="AZ133" s="21">
        <f>1*25.4</f>
        <v>25.4</v>
      </c>
      <c r="BA133" s="310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0" t="s">
        <v>4420</v>
      </c>
      <c r="BH133" s="310" t="s">
        <v>6205</v>
      </c>
      <c r="BI133" s="310" t="s">
        <v>6204</v>
      </c>
      <c r="BJ133" s="310">
        <v>6</v>
      </c>
      <c r="BK133" s="310">
        <v>8</v>
      </c>
      <c r="BL133" s="196" t="s">
        <v>5791</v>
      </c>
      <c r="BM133" s="197" t="s">
        <v>5791</v>
      </c>
      <c r="BN133" s="197" t="s">
        <v>5791</v>
      </c>
      <c r="BO133" s="197" t="s">
        <v>5791</v>
      </c>
      <c r="BP133" s="197" t="s">
        <v>5791</v>
      </c>
      <c r="BQ133" s="197" t="s">
        <v>5791</v>
      </c>
      <c r="BR133" s="197" t="s">
        <v>5791</v>
      </c>
      <c r="BS133" s="197" t="s">
        <v>5791</v>
      </c>
      <c r="BT133" s="196" t="s">
        <v>5791</v>
      </c>
      <c r="BU133" s="197" t="s">
        <v>5791</v>
      </c>
      <c r="BV133" s="197" t="s">
        <v>5791</v>
      </c>
      <c r="BW133" s="197" t="s">
        <v>5791</v>
      </c>
      <c r="BX133" s="197" t="s">
        <v>5791</v>
      </c>
      <c r="BY133" s="197" t="s">
        <v>5791</v>
      </c>
      <c r="BZ133" s="212" t="s">
        <v>5791</v>
      </c>
      <c r="CA133" s="197" t="s">
        <v>5791</v>
      </c>
      <c r="CB133" s="197" t="s">
        <v>5791</v>
      </c>
      <c r="CC133" s="197" t="s">
        <v>5791</v>
      </c>
      <c r="CD133" s="197" t="s">
        <v>5791</v>
      </c>
      <c r="CE133" s="197" t="s">
        <v>5791</v>
      </c>
      <c r="CF133" s="212" t="s">
        <v>5791</v>
      </c>
      <c r="CG133" s="197" t="s">
        <v>5791</v>
      </c>
      <c r="CH133" s="197" t="s">
        <v>5791</v>
      </c>
      <c r="CI133" s="197" t="s">
        <v>5791</v>
      </c>
      <c r="CJ133" s="197" t="s">
        <v>5791</v>
      </c>
      <c r="CK133" s="197" t="s">
        <v>5791</v>
      </c>
      <c r="CL133" s="203" t="s">
        <v>5791</v>
      </c>
      <c r="CM133" s="301" t="s">
        <v>4535</v>
      </c>
      <c r="CN133" s="310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10" t="s">
        <v>4535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5791</v>
      </c>
      <c r="CZ133" s="202" t="s">
        <v>5791</v>
      </c>
      <c r="DA133" s="202" t="s">
        <v>5791</v>
      </c>
      <c r="DB133" s="203" t="s">
        <v>5791</v>
      </c>
      <c r="DC133" s="201" t="s">
        <v>5791</v>
      </c>
      <c r="DD133" s="202" t="s">
        <v>5791</v>
      </c>
      <c r="DE133" s="203" t="s">
        <v>5791</v>
      </c>
      <c r="DF133" s="274" t="s">
        <v>5791</v>
      </c>
      <c r="DG133" s="310" t="s">
        <v>4422</v>
      </c>
      <c r="DH133" s="310">
        <v>640</v>
      </c>
      <c r="DI133" s="32">
        <v>730</v>
      </c>
      <c r="DJ133" s="310">
        <v>800</v>
      </c>
      <c r="DK133" s="32">
        <v>940</v>
      </c>
      <c r="DL133" s="60">
        <v>200000</v>
      </c>
      <c r="DM133" s="40" t="s">
        <v>5837</v>
      </c>
      <c r="DN133" s="310" t="s">
        <v>4435</v>
      </c>
      <c r="DO133" s="306" t="s">
        <v>4565</v>
      </c>
    </row>
    <row r="134" spans="1:119">
      <c r="A134" s="18">
        <v>129</v>
      </c>
      <c r="B134" s="349"/>
      <c r="C134" s="349"/>
      <c r="D134" s="360"/>
      <c r="E134" s="360"/>
      <c r="F134" s="349"/>
      <c r="G134" s="349"/>
      <c r="H134" s="349"/>
      <c r="I134" s="349"/>
      <c r="J134" s="286" t="s">
        <v>4555</v>
      </c>
      <c r="K134" s="301" t="s">
        <v>4383</v>
      </c>
      <c r="L134" s="310" t="s">
        <v>5791</v>
      </c>
      <c r="M134" s="301" t="s">
        <v>4551</v>
      </c>
      <c r="N134" s="310" t="s">
        <v>4706</v>
      </c>
      <c r="O134" s="18" t="s">
        <v>4506</v>
      </c>
      <c r="P134" s="310" t="s">
        <v>4420</v>
      </c>
      <c r="Q134" s="310" t="s">
        <v>4420</v>
      </c>
      <c r="R134" s="310" t="s">
        <v>4420</v>
      </c>
      <c r="S134" s="310" t="s">
        <v>5791</v>
      </c>
      <c r="T134" s="59" t="s">
        <v>4420</v>
      </c>
      <c r="U134" s="59" t="s">
        <v>5791</v>
      </c>
      <c r="V134" s="59" t="s">
        <v>4420</v>
      </c>
      <c r="W134" s="59" t="s">
        <v>5791</v>
      </c>
      <c r="X134" s="310" t="s">
        <v>4420</v>
      </c>
      <c r="Y134" s="310" t="s">
        <v>5791</v>
      </c>
      <c r="Z134" s="310" t="s">
        <v>4558</v>
      </c>
      <c r="AA134" s="18">
        <v>6</v>
      </c>
      <c r="AB134" s="224">
        <v>0</v>
      </c>
      <c r="AC134" s="18" t="s">
        <v>5791</v>
      </c>
      <c r="AD134" s="196" t="s">
        <v>5791</v>
      </c>
      <c r="AE134" s="197" t="s">
        <v>5791</v>
      </c>
      <c r="AF134" s="197" t="s">
        <v>5791</v>
      </c>
      <c r="AG134" s="197" t="s">
        <v>5791</v>
      </c>
      <c r="AH134" s="197" t="s">
        <v>5791</v>
      </c>
      <c r="AI134" s="197" t="s">
        <v>5791</v>
      </c>
      <c r="AJ134" s="301" t="s">
        <v>5462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0">
        <v>0</v>
      </c>
      <c r="AV134" s="310">
        <v>0</v>
      </c>
      <c r="AW134" s="301" t="s">
        <v>5806</v>
      </c>
      <c r="AX134" s="310" t="s">
        <v>4552</v>
      </c>
      <c r="AY134" s="21">
        <v>124.6</v>
      </c>
      <c r="AZ134" s="21">
        <f>3/4*25.4</f>
        <v>19.049999999999997</v>
      </c>
      <c r="BA134" s="310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0" t="s">
        <v>4420</v>
      </c>
      <c r="BH134" s="310" t="s">
        <v>6205</v>
      </c>
      <c r="BI134" s="310" t="s">
        <v>6204</v>
      </c>
      <c r="BJ134" s="310">
        <v>6</v>
      </c>
      <c r="BK134" s="310">
        <v>8</v>
      </c>
      <c r="BL134" s="196" t="s">
        <v>5791</v>
      </c>
      <c r="BM134" s="197" t="s">
        <v>5791</v>
      </c>
      <c r="BN134" s="197" t="s">
        <v>5791</v>
      </c>
      <c r="BO134" s="197" t="s">
        <v>5791</v>
      </c>
      <c r="BP134" s="197" t="s">
        <v>5791</v>
      </c>
      <c r="BQ134" s="197" t="s">
        <v>5791</v>
      </c>
      <c r="BR134" s="197" t="s">
        <v>5791</v>
      </c>
      <c r="BS134" s="197" t="s">
        <v>5791</v>
      </c>
      <c r="BT134" s="196" t="s">
        <v>5791</v>
      </c>
      <c r="BU134" s="197" t="s">
        <v>5791</v>
      </c>
      <c r="BV134" s="197" t="s">
        <v>5791</v>
      </c>
      <c r="BW134" s="197" t="s">
        <v>5791</v>
      </c>
      <c r="BX134" s="197" t="s">
        <v>5791</v>
      </c>
      <c r="BY134" s="197" t="s">
        <v>5791</v>
      </c>
      <c r="BZ134" s="212" t="s">
        <v>5791</v>
      </c>
      <c r="CA134" s="197" t="s">
        <v>5791</v>
      </c>
      <c r="CB134" s="197" t="s">
        <v>5791</v>
      </c>
      <c r="CC134" s="197" t="s">
        <v>5791</v>
      </c>
      <c r="CD134" s="197" t="s">
        <v>5791</v>
      </c>
      <c r="CE134" s="197" t="s">
        <v>5791</v>
      </c>
      <c r="CF134" s="212" t="s">
        <v>5791</v>
      </c>
      <c r="CG134" s="197" t="s">
        <v>5791</v>
      </c>
      <c r="CH134" s="197" t="s">
        <v>5791</v>
      </c>
      <c r="CI134" s="197" t="s">
        <v>5791</v>
      </c>
      <c r="CJ134" s="197" t="s">
        <v>5791</v>
      </c>
      <c r="CK134" s="197" t="s">
        <v>5791</v>
      </c>
      <c r="CL134" s="203" t="s">
        <v>5791</v>
      </c>
      <c r="CM134" s="301" t="s">
        <v>4535</v>
      </c>
      <c r="CN134" s="310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10" t="s">
        <v>4535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5791</v>
      </c>
      <c r="CZ134" s="202" t="s">
        <v>5791</v>
      </c>
      <c r="DA134" s="202" t="s">
        <v>5791</v>
      </c>
      <c r="DB134" s="203" t="s">
        <v>5791</v>
      </c>
      <c r="DC134" s="201" t="s">
        <v>5791</v>
      </c>
      <c r="DD134" s="202" t="s">
        <v>5791</v>
      </c>
      <c r="DE134" s="203" t="s">
        <v>5791</v>
      </c>
      <c r="DF134" s="274" t="s">
        <v>5791</v>
      </c>
      <c r="DG134" s="310" t="s">
        <v>4422</v>
      </c>
      <c r="DH134" s="310">
        <v>640</v>
      </c>
      <c r="DI134" s="32">
        <v>730</v>
      </c>
      <c r="DJ134" s="310">
        <v>800</v>
      </c>
      <c r="DK134" s="32">
        <v>940</v>
      </c>
      <c r="DL134" s="60">
        <v>200000</v>
      </c>
      <c r="DM134" s="40" t="s">
        <v>5837</v>
      </c>
      <c r="DN134" s="310" t="s">
        <v>4435</v>
      </c>
      <c r="DO134" s="306" t="s">
        <v>4565</v>
      </c>
    </row>
    <row r="135" spans="1:119">
      <c r="A135" s="18">
        <v>130</v>
      </c>
      <c r="B135" s="349"/>
      <c r="C135" s="349"/>
      <c r="D135" s="360"/>
      <c r="E135" s="360"/>
      <c r="F135" s="349"/>
      <c r="G135" s="349"/>
      <c r="H135" s="349"/>
      <c r="I135" s="349"/>
      <c r="J135" s="286" t="s">
        <v>4556</v>
      </c>
      <c r="K135" s="301" t="s">
        <v>4383</v>
      </c>
      <c r="L135" s="310" t="s">
        <v>5791</v>
      </c>
      <c r="M135" s="301" t="s">
        <v>4551</v>
      </c>
      <c r="N135" s="310" t="s">
        <v>4706</v>
      </c>
      <c r="O135" s="18" t="s">
        <v>4506</v>
      </c>
      <c r="P135" s="310" t="s">
        <v>4420</v>
      </c>
      <c r="Q135" s="310" t="s">
        <v>4420</v>
      </c>
      <c r="R135" s="310" t="s">
        <v>4420</v>
      </c>
      <c r="S135" s="310" t="s">
        <v>5791</v>
      </c>
      <c r="T135" s="59" t="s">
        <v>4420</v>
      </c>
      <c r="U135" s="59" t="s">
        <v>5791</v>
      </c>
      <c r="V135" s="59" t="s">
        <v>4420</v>
      </c>
      <c r="W135" s="59" t="s">
        <v>5791</v>
      </c>
      <c r="X135" s="310" t="s">
        <v>4420</v>
      </c>
      <c r="Y135" s="310" t="s">
        <v>5791</v>
      </c>
      <c r="Z135" s="310" t="s">
        <v>4558</v>
      </c>
      <c r="AA135" s="18">
        <v>6</v>
      </c>
      <c r="AB135" s="224">
        <v>0</v>
      </c>
      <c r="AC135" s="18" t="s">
        <v>5791</v>
      </c>
      <c r="AD135" s="196" t="s">
        <v>5791</v>
      </c>
      <c r="AE135" s="197" t="s">
        <v>5791</v>
      </c>
      <c r="AF135" s="197" t="s">
        <v>5791</v>
      </c>
      <c r="AG135" s="197" t="s">
        <v>5791</v>
      </c>
      <c r="AH135" s="197" t="s">
        <v>5791</v>
      </c>
      <c r="AI135" s="197" t="s">
        <v>5791</v>
      </c>
      <c r="AJ135" s="301" t="s">
        <v>5462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0">
        <v>0</v>
      </c>
      <c r="AV135" s="310">
        <v>0</v>
      </c>
      <c r="AW135" s="301" t="s">
        <v>5806</v>
      </c>
      <c r="AX135" s="310" t="s">
        <v>4552</v>
      </c>
      <c r="AY135" s="21">
        <v>169</v>
      </c>
      <c r="AZ135" s="21">
        <f>7/8*25.4</f>
        <v>22.224999999999998</v>
      </c>
      <c r="BA135" s="310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0" t="s">
        <v>4420</v>
      </c>
      <c r="BH135" s="310" t="s">
        <v>6205</v>
      </c>
      <c r="BI135" s="310" t="s">
        <v>6204</v>
      </c>
      <c r="BJ135" s="310">
        <v>6</v>
      </c>
      <c r="BK135" s="310">
        <v>8</v>
      </c>
      <c r="BL135" s="196" t="s">
        <v>5791</v>
      </c>
      <c r="BM135" s="197" t="s">
        <v>5791</v>
      </c>
      <c r="BN135" s="197" t="s">
        <v>5791</v>
      </c>
      <c r="BO135" s="197" t="s">
        <v>5791</v>
      </c>
      <c r="BP135" s="197" t="s">
        <v>5791</v>
      </c>
      <c r="BQ135" s="197" t="s">
        <v>5791</v>
      </c>
      <c r="BR135" s="197" t="s">
        <v>5791</v>
      </c>
      <c r="BS135" s="197" t="s">
        <v>5791</v>
      </c>
      <c r="BT135" s="196" t="s">
        <v>5791</v>
      </c>
      <c r="BU135" s="197" t="s">
        <v>5791</v>
      </c>
      <c r="BV135" s="197" t="s">
        <v>5791</v>
      </c>
      <c r="BW135" s="197" t="s">
        <v>5791</v>
      </c>
      <c r="BX135" s="197" t="s">
        <v>5791</v>
      </c>
      <c r="BY135" s="197" t="s">
        <v>5791</v>
      </c>
      <c r="BZ135" s="212" t="s">
        <v>5791</v>
      </c>
      <c r="CA135" s="197" t="s">
        <v>5791</v>
      </c>
      <c r="CB135" s="197" t="s">
        <v>5791</v>
      </c>
      <c r="CC135" s="197" t="s">
        <v>5791</v>
      </c>
      <c r="CD135" s="197" t="s">
        <v>5791</v>
      </c>
      <c r="CE135" s="197" t="s">
        <v>5791</v>
      </c>
      <c r="CF135" s="212" t="s">
        <v>5791</v>
      </c>
      <c r="CG135" s="197" t="s">
        <v>5791</v>
      </c>
      <c r="CH135" s="197" t="s">
        <v>5791</v>
      </c>
      <c r="CI135" s="197" t="s">
        <v>5791</v>
      </c>
      <c r="CJ135" s="197" t="s">
        <v>5791</v>
      </c>
      <c r="CK135" s="197" t="s">
        <v>5791</v>
      </c>
      <c r="CL135" s="203" t="s">
        <v>5791</v>
      </c>
      <c r="CM135" s="301" t="s">
        <v>4535</v>
      </c>
      <c r="CN135" s="310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10" t="s">
        <v>4535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5791</v>
      </c>
      <c r="CZ135" s="202" t="s">
        <v>5791</v>
      </c>
      <c r="DA135" s="202" t="s">
        <v>5791</v>
      </c>
      <c r="DB135" s="203" t="s">
        <v>5791</v>
      </c>
      <c r="DC135" s="201" t="s">
        <v>5791</v>
      </c>
      <c r="DD135" s="202" t="s">
        <v>5791</v>
      </c>
      <c r="DE135" s="203" t="s">
        <v>5791</v>
      </c>
      <c r="DF135" s="274" t="s">
        <v>5791</v>
      </c>
      <c r="DG135" s="310" t="s">
        <v>4422</v>
      </c>
      <c r="DH135" s="310">
        <v>640</v>
      </c>
      <c r="DI135" s="32">
        <v>730</v>
      </c>
      <c r="DJ135" s="310">
        <v>800</v>
      </c>
      <c r="DK135" s="32">
        <v>940</v>
      </c>
      <c r="DL135" s="60">
        <v>200000</v>
      </c>
      <c r="DM135" s="40" t="s">
        <v>5837</v>
      </c>
      <c r="DN135" s="310" t="s">
        <v>4435</v>
      </c>
      <c r="DO135" s="306" t="s">
        <v>4565</v>
      </c>
    </row>
    <row r="136" spans="1:119" ht="16.2" thickBot="1">
      <c r="A136" s="14">
        <v>131</v>
      </c>
      <c r="B136" s="350"/>
      <c r="C136" s="350"/>
      <c r="D136" s="372"/>
      <c r="E136" s="372"/>
      <c r="F136" s="350"/>
      <c r="G136" s="350"/>
      <c r="H136" s="350"/>
      <c r="I136" s="350"/>
      <c r="J136" s="285" t="s">
        <v>4557</v>
      </c>
      <c r="K136" s="308" t="s">
        <v>4383</v>
      </c>
      <c r="L136" s="311" t="s">
        <v>5791</v>
      </c>
      <c r="M136" s="308" t="s">
        <v>4551</v>
      </c>
      <c r="N136" s="311" t="s">
        <v>4706</v>
      </c>
      <c r="O136" s="14" t="s">
        <v>4506</v>
      </c>
      <c r="P136" s="311" t="s">
        <v>4420</v>
      </c>
      <c r="Q136" s="311" t="s">
        <v>4420</v>
      </c>
      <c r="R136" s="311" t="s">
        <v>4420</v>
      </c>
      <c r="S136" s="311" t="s">
        <v>5791</v>
      </c>
      <c r="T136" s="86" t="s">
        <v>4420</v>
      </c>
      <c r="U136" s="86" t="s">
        <v>5791</v>
      </c>
      <c r="V136" s="86" t="s">
        <v>4420</v>
      </c>
      <c r="W136" s="86" t="s">
        <v>5791</v>
      </c>
      <c r="X136" s="311" t="s">
        <v>4420</v>
      </c>
      <c r="Y136" s="311" t="s">
        <v>5791</v>
      </c>
      <c r="Z136" s="311" t="s">
        <v>4558</v>
      </c>
      <c r="AA136" s="14">
        <v>6</v>
      </c>
      <c r="AB136" s="226">
        <v>0</v>
      </c>
      <c r="AC136" s="14" t="s">
        <v>5791</v>
      </c>
      <c r="AD136" s="191" t="s">
        <v>5791</v>
      </c>
      <c r="AE136" s="192" t="s">
        <v>5791</v>
      </c>
      <c r="AF136" s="192" t="s">
        <v>5791</v>
      </c>
      <c r="AG136" s="193" t="s">
        <v>5791</v>
      </c>
      <c r="AH136" s="193" t="s">
        <v>5791</v>
      </c>
      <c r="AI136" s="193" t="s">
        <v>5791</v>
      </c>
      <c r="AJ136" s="308" t="s">
        <v>5462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1">
        <v>0</v>
      </c>
      <c r="AV136" s="311">
        <v>0</v>
      </c>
      <c r="AW136" s="308" t="s">
        <v>5806</v>
      </c>
      <c r="AX136" s="311" t="s">
        <v>4552</v>
      </c>
      <c r="AY136" s="23">
        <v>169</v>
      </c>
      <c r="AZ136" s="23">
        <f>7/8*25.4</f>
        <v>22.224999999999998</v>
      </c>
      <c r="BA136" s="311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1" t="s">
        <v>4420</v>
      </c>
      <c r="BH136" s="311" t="s">
        <v>6205</v>
      </c>
      <c r="BI136" s="311" t="s">
        <v>6204</v>
      </c>
      <c r="BJ136" s="311">
        <v>6</v>
      </c>
      <c r="BK136" s="311">
        <v>8</v>
      </c>
      <c r="BL136" s="191" t="s">
        <v>5791</v>
      </c>
      <c r="BM136" s="192" t="s">
        <v>5791</v>
      </c>
      <c r="BN136" s="192" t="s">
        <v>5791</v>
      </c>
      <c r="BO136" s="192" t="s">
        <v>5791</v>
      </c>
      <c r="BP136" s="192" t="s">
        <v>5791</v>
      </c>
      <c r="BQ136" s="192" t="s">
        <v>5791</v>
      </c>
      <c r="BR136" s="192" t="s">
        <v>5791</v>
      </c>
      <c r="BS136" s="192" t="s">
        <v>5791</v>
      </c>
      <c r="BT136" s="191" t="s">
        <v>5791</v>
      </c>
      <c r="BU136" s="192" t="s">
        <v>5791</v>
      </c>
      <c r="BV136" s="192" t="s">
        <v>5791</v>
      </c>
      <c r="BW136" s="192" t="s">
        <v>5791</v>
      </c>
      <c r="BX136" s="192" t="s">
        <v>5791</v>
      </c>
      <c r="BY136" s="192" t="s">
        <v>5791</v>
      </c>
      <c r="BZ136" s="214" t="s">
        <v>5791</v>
      </c>
      <c r="CA136" s="192" t="s">
        <v>5791</v>
      </c>
      <c r="CB136" s="192" t="s">
        <v>5791</v>
      </c>
      <c r="CC136" s="192" t="s">
        <v>5791</v>
      </c>
      <c r="CD136" s="192" t="s">
        <v>5791</v>
      </c>
      <c r="CE136" s="192" t="s">
        <v>5791</v>
      </c>
      <c r="CF136" s="214" t="s">
        <v>5791</v>
      </c>
      <c r="CG136" s="192" t="s">
        <v>5791</v>
      </c>
      <c r="CH136" s="192" t="s">
        <v>5791</v>
      </c>
      <c r="CI136" s="192" t="s">
        <v>5791</v>
      </c>
      <c r="CJ136" s="192" t="s">
        <v>5791</v>
      </c>
      <c r="CK136" s="192" t="s">
        <v>5791</v>
      </c>
      <c r="CL136" s="206" t="s">
        <v>5791</v>
      </c>
      <c r="CM136" s="308" t="s">
        <v>4535</v>
      </c>
      <c r="CN136" s="311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11" t="s">
        <v>4535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5791</v>
      </c>
      <c r="CZ136" s="205" t="s">
        <v>5791</v>
      </c>
      <c r="DA136" s="205" t="s">
        <v>5791</v>
      </c>
      <c r="DB136" s="206" t="s">
        <v>5791</v>
      </c>
      <c r="DC136" s="204" t="s">
        <v>5791</v>
      </c>
      <c r="DD136" s="205" t="s">
        <v>5791</v>
      </c>
      <c r="DE136" s="206" t="s">
        <v>5791</v>
      </c>
      <c r="DF136" s="275" t="s">
        <v>5791</v>
      </c>
      <c r="DG136" s="311" t="s">
        <v>4422</v>
      </c>
      <c r="DH136" s="311">
        <v>640</v>
      </c>
      <c r="DI136" s="34">
        <v>730</v>
      </c>
      <c r="DJ136" s="311">
        <v>800</v>
      </c>
      <c r="DK136" s="34">
        <v>940</v>
      </c>
      <c r="DL136" s="76">
        <v>200000</v>
      </c>
      <c r="DM136" s="41" t="s">
        <v>4769</v>
      </c>
      <c r="DN136" s="311" t="s">
        <v>4435</v>
      </c>
      <c r="DO136" s="307" t="s">
        <v>4565</v>
      </c>
    </row>
    <row r="137" spans="1:119" ht="15.6" customHeight="1">
      <c r="A137" s="17">
        <v>132</v>
      </c>
      <c r="B137" s="351">
        <v>18</v>
      </c>
      <c r="C137" s="351">
        <v>1991</v>
      </c>
      <c r="D137" s="357" t="s">
        <v>4709</v>
      </c>
      <c r="E137" s="355" t="s">
        <v>6083</v>
      </c>
      <c r="F137" s="348">
        <v>2</v>
      </c>
      <c r="G137" s="348" t="s">
        <v>5907</v>
      </c>
      <c r="H137" s="348" t="s">
        <v>5906</v>
      </c>
      <c r="I137" s="348" t="s">
        <v>4576</v>
      </c>
      <c r="J137" s="284" t="s">
        <v>5802</v>
      </c>
      <c r="K137" s="300" t="s">
        <v>4383</v>
      </c>
      <c r="L137" s="30" t="s">
        <v>5791</v>
      </c>
      <c r="M137" s="300" t="s">
        <v>4507</v>
      </c>
      <c r="N137" s="309" t="s">
        <v>4699</v>
      </c>
      <c r="O137" s="17" t="s">
        <v>4506</v>
      </c>
      <c r="P137" s="309" t="s">
        <v>4470</v>
      </c>
      <c r="Q137" s="309" t="s">
        <v>4420</v>
      </c>
      <c r="R137" s="309" t="s">
        <v>6165</v>
      </c>
      <c r="S137" s="30">
        <v>10</v>
      </c>
      <c r="T137" s="64" t="s">
        <v>4420</v>
      </c>
      <c r="U137" s="64" t="s">
        <v>5791</v>
      </c>
      <c r="V137" s="64" t="s">
        <v>4420</v>
      </c>
      <c r="W137" s="64" t="s">
        <v>5791</v>
      </c>
      <c r="X137" s="309" t="s">
        <v>4420</v>
      </c>
      <c r="Y137" s="309" t="s">
        <v>5791</v>
      </c>
      <c r="Z137" s="309" t="s">
        <v>4558</v>
      </c>
      <c r="AA137" s="17">
        <v>7</v>
      </c>
      <c r="AB137" s="232">
        <v>0</v>
      </c>
      <c r="AC137" s="17">
        <v>0</v>
      </c>
      <c r="AD137" s="300" t="s">
        <v>3988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6129</v>
      </c>
      <c r="AJ137" s="300" t="s">
        <v>3913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9">
        <v>0</v>
      </c>
      <c r="AV137" s="309">
        <v>0</v>
      </c>
      <c r="AW137" s="300" t="s">
        <v>5806</v>
      </c>
      <c r="AX137" s="309" t="s">
        <v>6129</v>
      </c>
      <c r="AY137" s="309" t="s">
        <v>6129</v>
      </c>
      <c r="AZ137" s="309">
        <v>20</v>
      </c>
      <c r="BA137" s="309">
        <f t="shared" ref="BA137:BA138" si="32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4470</v>
      </c>
      <c r="BH137" s="309" t="s">
        <v>6204</v>
      </c>
      <c r="BI137" s="309" t="s">
        <v>6204</v>
      </c>
      <c r="BJ137" s="309">
        <v>2</v>
      </c>
      <c r="BK137" s="17">
        <v>4</v>
      </c>
      <c r="BL137" s="300">
        <v>120</v>
      </c>
      <c r="BM137" s="309">
        <v>1000</v>
      </c>
      <c r="BN137" s="195" t="s">
        <v>5791</v>
      </c>
      <c r="BO137" s="195" t="s">
        <v>5791</v>
      </c>
      <c r="BP137" s="195" t="s">
        <v>5791</v>
      </c>
      <c r="BQ137" s="195" t="s">
        <v>5791</v>
      </c>
      <c r="BR137" s="195" t="s">
        <v>5791</v>
      </c>
      <c r="BS137" s="213" t="s">
        <v>5791</v>
      </c>
      <c r="BT137" s="300" t="s">
        <v>5855</v>
      </c>
      <c r="BU137" s="309" t="s">
        <v>6129</v>
      </c>
      <c r="BV137" s="309">
        <v>1</v>
      </c>
      <c r="BW137" s="309">
        <v>20</v>
      </c>
      <c r="BX137" s="309">
        <v>100</v>
      </c>
      <c r="BY137" s="309" t="s">
        <v>6129</v>
      </c>
      <c r="BZ137" s="17" t="s">
        <v>6129</v>
      </c>
      <c r="CA137" s="309" t="s">
        <v>6081</v>
      </c>
      <c r="CB137" s="309" t="s">
        <v>6116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4450</v>
      </c>
      <c r="CH137" s="64">
        <v>275</v>
      </c>
      <c r="CI137" s="309">
        <v>338</v>
      </c>
      <c r="CJ137" s="64">
        <v>410</v>
      </c>
      <c r="CK137" s="309">
        <v>485</v>
      </c>
      <c r="CL137" s="65">
        <v>200000</v>
      </c>
      <c r="CM137" s="30" t="s">
        <v>4450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4450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6082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5791</v>
      </c>
      <c r="DG137" s="309">
        <v>8.8000000000000007</v>
      </c>
      <c r="DH137" s="309">
        <v>640</v>
      </c>
      <c r="DI137" s="30">
        <v>730</v>
      </c>
      <c r="DJ137" s="309">
        <v>800</v>
      </c>
      <c r="DK137" s="30">
        <v>940</v>
      </c>
      <c r="DL137" s="65">
        <v>200000</v>
      </c>
      <c r="DM137" s="28" t="s">
        <v>6128</v>
      </c>
      <c r="DN137" s="309" t="s">
        <v>4435</v>
      </c>
      <c r="DO137" s="305" t="s">
        <v>4565</v>
      </c>
    </row>
    <row r="138" spans="1:119" ht="16.2" thickBot="1">
      <c r="A138" s="14">
        <v>133</v>
      </c>
      <c r="B138" s="352"/>
      <c r="C138" s="352"/>
      <c r="D138" s="371"/>
      <c r="E138" s="356"/>
      <c r="F138" s="350"/>
      <c r="G138" s="350"/>
      <c r="H138" s="350"/>
      <c r="I138" s="350"/>
      <c r="J138" s="285" t="s">
        <v>6080</v>
      </c>
      <c r="K138" s="308" t="s">
        <v>4383</v>
      </c>
      <c r="L138" s="34" t="s">
        <v>5791</v>
      </c>
      <c r="M138" s="308" t="s">
        <v>4507</v>
      </c>
      <c r="N138" s="311" t="s">
        <v>4699</v>
      </c>
      <c r="O138" s="14" t="s">
        <v>4506</v>
      </c>
      <c r="P138" s="304" t="s">
        <v>4470</v>
      </c>
      <c r="Q138" s="304" t="s">
        <v>4420</v>
      </c>
      <c r="R138" s="311" t="s">
        <v>6165</v>
      </c>
      <c r="S138" s="34">
        <v>10</v>
      </c>
      <c r="T138" s="86" t="s">
        <v>4420</v>
      </c>
      <c r="U138" s="86" t="s">
        <v>5791</v>
      </c>
      <c r="V138" s="86" t="s">
        <v>4420</v>
      </c>
      <c r="W138" s="86" t="s">
        <v>5791</v>
      </c>
      <c r="X138" s="311" t="s">
        <v>4420</v>
      </c>
      <c r="Y138" s="311" t="s">
        <v>5791</v>
      </c>
      <c r="Z138" s="311" t="s">
        <v>4558</v>
      </c>
      <c r="AA138" s="14">
        <v>7</v>
      </c>
      <c r="AB138" s="228">
        <v>0</v>
      </c>
      <c r="AC138" s="14">
        <v>0</v>
      </c>
      <c r="AD138" s="308" t="s">
        <v>3988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6129</v>
      </c>
      <c r="AJ138" s="308" t="s">
        <v>3913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10">
        <v>0</v>
      </c>
      <c r="AV138" s="310">
        <v>0</v>
      </c>
      <c r="AW138" s="308" t="s">
        <v>5806</v>
      </c>
      <c r="AX138" s="311" t="s">
        <v>6129</v>
      </c>
      <c r="AY138" s="311" t="s">
        <v>6129</v>
      </c>
      <c r="AZ138" s="311">
        <v>20</v>
      </c>
      <c r="BA138" s="311">
        <f t="shared" si="32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4470</v>
      </c>
      <c r="BH138" s="311" t="s">
        <v>6204</v>
      </c>
      <c r="BI138" s="311" t="s">
        <v>6204</v>
      </c>
      <c r="BJ138" s="311">
        <v>2</v>
      </c>
      <c r="BK138" s="14">
        <v>4</v>
      </c>
      <c r="BL138" s="308">
        <v>120</v>
      </c>
      <c r="BM138" s="311">
        <v>1000</v>
      </c>
      <c r="BN138" s="192" t="s">
        <v>5791</v>
      </c>
      <c r="BO138" s="192" t="s">
        <v>5791</v>
      </c>
      <c r="BP138" s="192" t="s">
        <v>5791</v>
      </c>
      <c r="BQ138" s="192" t="s">
        <v>5791</v>
      </c>
      <c r="BR138" s="192" t="s">
        <v>5791</v>
      </c>
      <c r="BS138" s="214" t="s">
        <v>5791</v>
      </c>
      <c r="BT138" s="308" t="s">
        <v>5855</v>
      </c>
      <c r="BU138" s="311" t="s">
        <v>6129</v>
      </c>
      <c r="BV138" s="311">
        <v>1</v>
      </c>
      <c r="BW138" s="311">
        <v>20</v>
      </c>
      <c r="BX138" s="311">
        <v>100</v>
      </c>
      <c r="BY138" s="311" t="s">
        <v>6129</v>
      </c>
      <c r="BZ138" s="14" t="s">
        <v>6129</v>
      </c>
      <c r="CA138" s="311" t="s">
        <v>6081</v>
      </c>
      <c r="CB138" s="311" t="s">
        <v>6117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4450</v>
      </c>
      <c r="CH138" s="59">
        <v>275</v>
      </c>
      <c r="CI138" s="311">
        <v>338</v>
      </c>
      <c r="CJ138" s="59">
        <v>410</v>
      </c>
      <c r="CK138" s="311">
        <v>485</v>
      </c>
      <c r="CL138" s="66">
        <v>200000</v>
      </c>
      <c r="CM138" s="32" t="s">
        <v>4450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4450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6082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5791</v>
      </c>
      <c r="DG138" s="311">
        <v>8.8000000000000007</v>
      </c>
      <c r="DH138" s="311">
        <v>640</v>
      </c>
      <c r="DI138" s="34">
        <v>730</v>
      </c>
      <c r="DJ138" s="311">
        <v>800</v>
      </c>
      <c r="DK138" s="34">
        <v>940</v>
      </c>
      <c r="DL138" s="69">
        <v>200000</v>
      </c>
      <c r="DM138" s="27" t="s">
        <v>6073</v>
      </c>
      <c r="DN138" s="308" t="s">
        <v>4435</v>
      </c>
      <c r="DO138" s="307" t="s">
        <v>4565</v>
      </c>
    </row>
    <row r="139" spans="1:119" ht="15.6" customHeight="1">
      <c r="A139" s="17">
        <v>134</v>
      </c>
      <c r="B139" s="348">
        <v>19</v>
      </c>
      <c r="C139" s="348">
        <v>1992</v>
      </c>
      <c r="D139" s="359" t="s">
        <v>4670</v>
      </c>
      <c r="E139" s="359" t="s">
        <v>4860</v>
      </c>
      <c r="F139" s="348">
        <v>7</v>
      </c>
      <c r="G139" s="348" t="s">
        <v>5910</v>
      </c>
      <c r="H139" s="348" t="s">
        <v>4675</v>
      </c>
      <c r="I139" s="348" t="s">
        <v>6228</v>
      </c>
      <c r="J139" s="284" t="s">
        <v>4642</v>
      </c>
      <c r="K139" s="300" t="s">
        <v>4383</v>
      </c>
      <c r="L139" s="30" t="s">
        <v>5791</v>
      </c>
      <c r="M139" s="300" t="s">
        <v>4507</v>
      </c>
      <c r="N139" s="309" t="s">
        <v>4700</v>
      </c>
      <c r="O139" s="17" t="s">
        <v>4506</v>
      </c>
      <c r="P139" s="309" t="s">
        <v>4420</v>
      </c>
      <c r="Q139" s="309" t="s">
        <v>4420</v>
      </c>
      <c r="R139" s="309" t="s">
        <v>6165</v>
      </c>
      <c r="S139" s="30">
        <v>12</v>
      </c>
      <c r="T139" s="64" t="s">
        <v>4420</v>
      </c>
      <c r="U139" s="64" t="s">
        <v>5791</v>
      </c>
      <c r="V139" s="64" t="s">
        <v>4420</v>
      </c>
      <c r="W139" s="64" t="s">
        <v>5791</v>
      </c>
      <c r="X139" s="309" t="s">
        <v>4420</v>
      </c>
      <c r="Y139" s="309" t="s">
        <v>5791</v>
      </c>
      <c r="Z139" s="30" t="s">
        <v>4558</v>
      </c>
      <c r="AA139" s="87">
        <v>6</v>
      </c>
      <c r="AB139" s="224">
        <v>0</v>
      </c>
      <c r="AC139" s="18">
        <v>0</v>
      </c>
      <c r="AD139" s="300" t="s">
        <v>3973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0" t="s">
        <v>3919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3">(AT139-AK139)/2</f>
        <v>20</v>
      </c>
      <c r="AW139" s="300" t="s">
        <v>5806</v>
      </c>
      <c r="AX139" s="309" t="s">
        <v>6129</v>
      </c>
      <c r="AY139" s="309" t="s">
        <v>6129</v>
      </c>
      <c r="AZ139" s="309">
        <v>18</v>
      </c>
      <c r="BA139" s="309">
        <v>192</v>
      </c>
      <c r="BB139" s="16">
        <v>70</v>
      </c>
      <c r="BC139" s="16">
        <f t="shared" ref="BC139:BC165" si="34">BB139</f>
        <v>70</v>
      </c>
      <c r="BD139" s="16">
        <v>130</v>
      </c>
      <c r="BE139" s="16">
        <v>100</v>
      </c>
      <c r="BF139" s="16">
        <v>0</v>
      </c>
      <c r="BG139" s="22" t="s">
        <v>4470</v>
      </c>
      <c r="BH139" s="309" t="s">
        <v>6204</v>
      </c>
      <c r="BI139" s="309" t="s">
        <v>6204</v>
      </c>
      <c r="BJ139" s="309">
        <v>2</v>
      </c>
      <c r="BK139" s="17">
        <v>6</v>
      </c>
      <c r="BL139" s="194" t="s">
        <v>5791</v>
      </c>
      <c r="BM139" s="195" t="s">
        <v>5791</v>
      </c>
      <c r="BN139" s="195" t="s">
        <v>5791</v>
      </c>
      <c r="BO139" s="195" t="s">
        <v>5791</v>
      </c>
      <c r="BP139" s="195" t="s">
        <v>5791</v>
      </c>
      <c r="BQ139" s="195" t="s">
        <v>5791</v>
      </c>
      <c r="BR139" s="195" t="s">
        <v>5791</v>
      </c>
      <c r="BS139" s="213" t="s">
        <v>5791</v>
      </c>
      <c r="BT139" s="194" t="s">
        <v>5791</v>
      </c>
      <c r="BU139" s="195" t="s">
        <v>5791</v>
      </c>
      <c r="BV139" s="195" t="s">
        <v>5791</v>
      </c>
      <c r="BW139" s="195" t="s">
        <v>5791</v>
      </c>
      <c r="BX139" s="195" t="s">
        <v>5791</v>
      </c>
      <c r="BY139" s="195" t="s">
        <v>5791</v>
      </c>
      <c r="BZ139" s="213" t="s">
        <v>5791</v>
      </c>
      <c r="CA139" s="195" t="s">
        <v>5791</v>
      </c>
      <c r="CB139" s="195" t="s">
        <v>5791</v>
      </c>
      <c r="CC139" s="195" t="s">
        <v>5791</v>
      </c>
      <c r="CD139" s="195" t="s">
        <v>5791</v>
      </c>
      <c r="CE139" s="195" t="s">
        <v>5791</v>
      </c>
      <c r="CF139" s="218" t="s">
        <v>5791</v>
      </c>
      <c r="CG139" s="309" t="s">
        <v>4449</v>
      </c>
      <c r="CH139" s="44">
        <v>235</v>
      </c>
      <c r="CI139" s="309">
        <v>310</v>
      </c>
      <c r="CJ139" s="44">
        <v>360</v>
      </c>
      <c r="CK139" s="309">
        <v>435</v>
      </c>
      <c r="CL139" s="65">
        <v>200000</v>
      </c>
      <c r="CM139" s="300" t="s">
        <v>4449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9" t="s">
        <v>4449</v>
      </c>
      <c r="CT139" s="71">
        <v>235</v>
      </c>
      <c r="CU139" s="309">
        <v>310</v>
      </c>
      <c r="CV139" s="71">
        <v>360</v>
      </c>
      <c r="CW139" s="309">
        <v>435</v>
      </c>
      <c r="CX139" s="65">
        <v>200000</v>
      </c>
      <c r="CY139" s="210" t="s">
        <v>5791</v>
      </c>
      <c r="CZ139" s="210" t="s">
        <v>5791</v>
      </c>
      <c r="DA139" s="210" t="s">
        <v>5791</v>
      </c>
      <c r="DB139" s="199" t="s">
        <v>5791</v>
      </c>
      <c r="DC139" s="194" t="s">
        <v>5791</v>
      </c>
      <c r="DD139" s="195" t="s">
        <v>5791</v>
      </c>
      <c r="DE139" s="200" t="s">
        <v>5791</v>
      </c>
      <c r="DF139" s="273" t="s">
        <v>5791</v>
      </c>
      <c r="DG139" s="309">
        <v>10.9</v>
      </c>
      <c r="DH139" s="302">
        <v>900</v>
      </c>
      <c r="DI139" s="30">
        <v>990</v>
      </c>
      <c r="DJ139" s="302">
        <v>1000</v>
      </c>
      <c r="DK139" s="30">
        <v>1100</v>
      </c>
      <c r="DL139" s="75">
        <v>205000</v>
      </c>
      <c r="DM139" s="42" t="s">
        <v>5837</v>
      </c>
      <c r="DN139" s="309" t="s">
        <v>4435</v>
      </c>
      <c r="DO139" s="306" t="s">
        <v>4565</v>
      </c>
    </row>
    <row r="140" spans="1:119">
      <c r="A140" s="18">
        <v>135</v>
      </c>
      <c r="B140" s="349"/>
      <c r="C140" s="349"/>
      <c r="D140" s="360"/>
      <c r="E140" s="360"/>
      <c r="F140" s="349"/>
      <c r="G140" s="349"/>
      <c r="H140" s="349"/>
      <c r="I140" s="349"/>
      <c r="J140" s="286" t="s">
        <v>4637</v>
      </c>
      <c r="K140" s="301" t="s">
        <v>4383</v>
      </c>
      <c r="L140" s="32" t="s">
        <v>5791</v>
      </c>
      <c r="M140" s="301" t="s">
        <v>4507</v>
      </c>
      <c r="N140" s="310" t="s">
        <v>4700</v>
      </c>
      <c r="O140" s="18" t="s">
        <v>4506</v>
      </c>
      <c r="P140" s="310" t="s">
        <v>4470</v>
      </c>
      <c r="Q140" s="310" t="s">
        <v>4420</v>
      </c>
      <c r="R140" s="310" t="s">
        <v>6165</v>
      </c>
      <c r="S140" s="32">
        <v>12</v>
      </c>
      <c r="T140" s="59" t="s">
        <v>4420</v>
      </c>
      <c r="U140" s="59" t="s">
        <v>5791</v>
      </c>
      <c r="V140" s="59" t="s">
        <v>4420</v>
      </c>
      <c r="W140" s="59" t="s">
        <v>5791</v>
      </c>
      <c r="X140" s="310" t="s">
        <v>4420</v>
      </c>
      <c r="Y140" s="310" t="s">
        <v>5791</v>
      </c>
      <c r="Z140" s="32" t="s">
        <v>4558</v>
      </c>
      <c r="AA140" s="72">
        <v>6</v>
      </c>
      <c r="AB140" s="224">
        <v>0</v>
      </c>
      <c r="AC140" s="18">
        <v>0</v>
      </c>
      <c r="AD140" s="301" t="s">
        <v>3973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1" t="s">
        <v>3919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3"/>
        <v>20</v>
      </c>
      <c r="AW140" s="301" t="s">
        <v>5806</v>
      </c>
      <c r="AX140" s="310" t="s">
        <v>6129</v>
      </c>
      <c r="AY140" s="310" t="s">
        <v>6129</v>
      </c>
      <c r="AZ140" s="21">
        <v>18</v>
      </c>
      <c r="BA140" s="21">
        <v>192</v>
      </c>
      <c r="BB140" s="21">
        <v>70</v>
      </c>
      <c r="BC140" s="21">
        <f t="shared" si="34"/>
        <v>70</v>
      </c>
      <c r="BD140" s="21">
        <v>130</v>
      </c>
      <c r="BE140" s="21">
        <v>100</v>
      </c>
      <c r="BF140" s="21">
        <v>0</v>
      </c>
      <c r="BG140" s="15" t="s">
        <v>4470</v>
      </c>
      <c r="BH140" s="310" t="s">
        <v>6204</v>
      </c>
      <c r="BI140" s="310" t="s">
        <v>6204</v>
      </c>
      <c r="BJ140" s="310">
        <v>2</v>
      </c>
      <c r="BK140" s="18">
        <v>6</v>
      </c>
      <c r="BL140" s="301">
        <v>120</v>
      </c>
      <c r="BM140" s="310">
        <v>1000</v>
      </c>
      <c r="BN140" s="310" t="s">
        <v>6186</v>
      </c>
      <c r="BO140" s="310">
        <v>1.2</v>
      </c>
      <c r="BP140" s="310">
        <v>130</v>
      </c>
      <c r="BQ140" s="310">
        <v>1810</v>
      </c>
      <c r="BR140" s="310">
        <v>55</v>
      </c>
      <c r="BS140" s="18" t="s">
        <v>4590</v>
      </c>
      <c r="BT140" s="301" t="s">
        <v>5855</v>
      </c>
      <c r="BU140" s="310">
        <v>9</v>
      </c>
      <c r="BV140" s="310">
        <v>1</v>
      </c>
      <c r="BW140" s="310">
        <v>19</v>
      </c>
      <c r="BX140" s="310">
        <v>100</v>
      </c>
      <c r="BY140" s="32">
        <v>45</v>
      </c>
      <c r="BZ140" s="72">
        <v>160</v>
      </c>
      <c r="CA140" s="310" t="s">
        <v>4572</v>
      </c>
      <c r="CB140" s="310" t="s">
        <v>4641</v>
      </c>
      <c r="CC140" s="21">
        <v>0</v>
      </c>
      <c r="CD140" s="21">
        <f>10*PI()*8^2/4</f>
        <v>502.6548245743669</v>
      </c>
      <c r="CE140" s="310">
        <v>28</v>
      </c>
      <c r="CF140" s="119">
        <v>7.7000000000000002E-3</v>
      </c>
      <c r="CG140" s="310" t="s">
        <v>4449</v>
      </c>
      <c r="CH140" s="45">
        <v>235</v>
      </c>
      <c r="CI140" s="310">
        <v>310</v>
      </c>
      <c r="CJ140" s="45">
        <v>360</v>
      </c>
      <c r="CK140" s="310">
        <v>435</v>
      </c>
      <c r="CL140" s="66">
        <v>200000</v>
      </c>
      <c r="CM140" s="301" t="s">
        <v>4449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10" t="s">
        <v>4449</v>
      </c>
      <c r="CT140" s="46">
        <v>235</v>
      </c>
      <c r="CU140" s="310">
        <v>310</v>
      </c>
      <c r="CV140" s="46">
        <v>360</v>
      </c>
      <c r="CW140" s="310">
        <v>435</v>
      </c>
      <c r="CX140" s="66">
        <v>200000</v>
      </c>
      <c r="CY140" s="310" t="s">
        <v>5795</v>
      </c>
      <c r="CZ140" s="33">
        <v>37</v>
      </c>
      <c r="DA140" s="33">
        <v>2.9</v>
      </c>
      <c r="DB140" s="66">
        <v>33000</v>
      </c>
      <c r="DC140" s="301">
        <v>540</v>
      </c>
      <c r="DD140" s="32">
        <v>650</v>
      </c>
      <c r="DE140" s="66">
        <v>200000</v>
      </c>
      <c r="DF140" s="295">
        <v>320</v>
      </c>
      <c r="DG140" s="310">
        <v>10.9</v>
      </c>
      <c r="DH140" s="303">
        <v>900</v>
      </c>
      <c r="DI140" s="32">
        <v>990</v>
      </c>
      <c r="DJ140" s="303">
        <v>1000</v>
      </c>
      <c r="DK140" s="32">
        <v>1100</v>
      </c>
      <c r="DL140" s="60">
        <v>205000</v>
      </c>
      <c r="DM140" s="40" t="s">
        <v>5854</v>
      </c>
      <c r="DN140" s="310" t="s">
        <v>4435</v>
      </c>
      <c r="DO140" s="306" t="s">
        <v>4565</v>
      </c>
    </row>
    <row r="141" spans="1:119">
      <c r="A141" s="18">
        <v>136</v>
      </c>
      <c r="B141" s="349"/>
      <c r="C141" s="349"/>
      <c r="D141" s="360"/>
      <c r="E141" s="360"/>
      <c r="F141" s="349"/>
      <c r="G141" s="349"/>
      <c r="H141" s="349"/>
      <c r="I141" s="349"/>
      <c r="J141" s="286" t="s">
        <v>6092</v>
      </c>
      <c r="K141" s="301" t="s">
        <v>4383</v>
      </c>
      <c r="L141" s="32" t="s">
        <v>5791</v>
      </c>
      <c r="M141" s="301" t="s">
        <v>4507</v>
      </c>
      <c r="N141" s="310" t="s">
        <v>4700</v>
      </c>
      <c r="O141" s="18" t="s">
        <v>4506</v>
      </c>
      <c r="P141" s="310" t="s">
        <v>4470</v>
      </c>
      <c r="Q141" s="310" t="s">
        <v>4420</v>
      </c>
      <c r="R141" s="310" t="s">
        <v>6165</v>
      </c>
      <c r="S141" s="32">
        <v>12</v>
      </c>
      <c r="T141" s="59" t="s">
        <v>4420</v>
      </c>
      <c r="U141" s="59" t="s">
        <v>5791</v>
      </c>
      <c r="V141" s="59" t="s">
        <v>4420</v>
      </c>
      <c r="W141" s="59" t="s">
        <v>5791</v>
      </c>
      <c r="X141" s="310" t="s">
        <v>4420</v>
      </c>
      <c r="Y141" s="310" t="s">
        <v>5791</v>
      </c>
      <c r="Z141" s="32" t="s">
        <v>4558</v>
      </c>
      <c r="AA141" s="72">
        <v>6</v>
      </c>
      <c r="AB141" s="224">
        <v>0</v>
      </c>
      <c r="AC141" s="18">
        <v>0</v>
      </c>
      <c r="AD141" s="301" t="s">
        <v>3973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1" t="s">
        <v>3972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3"/>
        <v>105</v>
      </c>
      <c r="AW141" s="301" t="s">
        <v>5806</v>
      </c>
      <c r="AX141" s="310" t="s">
        <v>6129</v>
      </c>
      <c r="AY141" s="310" t="s">
        <v>6129</v>
      </c>
      <c r="AZ141" s="21">
        <v>18</v>
      </c>
      <c r="BA141" s="21">
        <v>192</v>
      </c>
      <c r="BB141" s="21">
        <v>70</v>
      </c>
      <c r="BC141" s="21">
        <f t="shared" si="34"/>
        <v>70</v>
      </c>
      <c r="BD141" s="21">
        <v>130</v>
      </c>
      <c r="BE141" s="21">
        <v>100</v>
      </c>
      <c r="BF141" s="21">
        <v>0</v>
      </c>
      <c r="BG141" s="15" t="s">
        <v>4470</v>
      </c>
      <c r="BH141" s="310" t="s">
        <v>6204</v>
      </c>
      <c r="BI141" s="310" t="s">
        <v>6204</v>
      </c>
      <c r="BJ141" s="310">
        <v>2</v>
      </c>
      <c r="BK141" s="18">
        <v>6</v>
      </c>
      <c r="BL141" s="301">
        <v>120</v>
      </c>
      <c r="BM141" s="310">
        <v>1000</v>
      </c>
      <c r="BN141" s="310" t="s">
        <v>6186</v>
      </c>
      <c r="BO141" s="310">
        <v>1.2</v>
      </c>
      <c r="BP141" s="310">
        <v>130</v>
      </c>
      <c r="BQ141" s="310">
        <v>1810</v>
      </c>
      <c r="BR141" s="310">
        <v>55</v>
      </c>
      <c r="BS141" s="18" t="s">
        <v>4590</v>
      </c>
      <c r="BT141" s="301" t="s">
        <v>5855</v>
      </c>
      <c r="BU141" s="310">
        <v>9</v>
      </c>
      <c r="BV141" s="310">
        <v>1</v>
      </c>
      <c r="BW141" s="310">
        <v>19</v>
      </c>
      <c r="BX141" s="310">
        <v>100</v>
      </c>
      <c r="BY141" s="32">
        <v>45</v>
      </c>
      <c r="BZ141" s="72">
        <v>160</v>
      </c>
      <c r="CA141" s="310" t="s">
        <v>4572</v>
      </c>
      <c r="CB141" s="310" t="s">
        <v>4641</v>
      </c>
      <c r="CC141" s="21">
        <v>0</v>
      </c>
      <c r="CD141" s="21">
        <f>10*PI()*8^2/4</f>
        <v>502.6548245743669</v>
      </c>
      <c r="CE141" s="310">
        <v>28</v>
      </c>
      <c r="CF141" s="119">
        <v>7.7000000000000002E-3</v>
      </c>
      <c r="CG141" s="310" t="s">
        <v>4449</v>
      </c>
      <c r="CH141" s="45">
        <v>235</v>
      </c>
      <c r="CI141" s="310">
        <v>310</v>
      </c>
      <c r="CJ141" s="45">
        <v>360</v>
      </c>
      <c r="CK141" s="310">
        <v>435</v>
      </c>
      <c r="CL141" s="66">
        <v>200000</v>
      </c>
      <c r="CM141" s="301" t="s">
        <v>4449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10" t="s">
        <v>4449</v>
      </c>
      <c r="CT141" s="46">
        <v>235</v>
      </c>
      <c r="CU141" s="310">
        <v>310</v>
      </c>
      <c r="CV141" s="46">
        <v>360</v>
      </c>
      <c r="CW141" s="310">
        <v>435</v>
      </c>
      <c r="CX141" s="66">
        <v>200000</v>
      </c>
      <c r="CY141" s="310" t="s">
        <v>5795</v>
      </c>
      <c r="CZ141" s="33">
        <v>37</v>
      </c>
      <c r="DA141" s="33">
        <v>2.9</v>
      </c>
      <c r="DB141" s="66">
        <v>33000</v>
      </c>
      <c r="DC141" s="301">
        <v>540</v>
      </c>
      <c r="DD141" s="32">
        <v>650</v>
      </c>
      <c r="DE141" s="66">
        <v>200000</v>
      </c>
      <c r="DF141" s="295">
        <v>320</v>
      </c>
      <c r="DG141" s="310">
        <v>10.9</v>
      </c>
      <c r="DH141" s="303">
        <v>900</v>
      </c>
      <c r="DI141" s="32">
        <v>990</v>
      </c>
      <c r="DJ141" s="303">
        <v>1000</v>
      </c>
      <c r="DK141" s="32">
        <v>1100</v>
      </c>
      <c r="DL141" s="60">
        <v>205000</v>
      </c>
      <c r="DM141" s="40" t="s">
        <v>5854</v>
      </c>
      <c r="DN141" s="310" t="s">
        <v>4435</v>
      </c>
      <c r="DO141" s="306" t="s">
        <v>4565</v>
      </c>
    </row>
    <row r="142" spans="1:119">
      <c r="A142" s="18">
        <v>137</v>
      </c>
      <c r="B142" s="349"/>
      <c r="C142" s="349"/>
      <c r="D142" s="360"/>
      <c r="E142" s="360"/>
      <c r="F142" s="349"/>
      <c r="G142" s="349"/>
      <c r="H142" s="349"/>
      <c r="I142" s="349"/>
      <c r="J142" s="286" t="s">
        <v>6093</v>
      </c>
      <c r="K142" s="301" t="s">
        <v>4383</v>
      </c>
      <c r="L142" s="32" t="s">
        <v>5791</v>
      </c>
      <c r="M142" s="301" t="s">
        <v>4507</v>
      </c>
      <c r="N142" s="310" t="s">
        <v>4700</v>
      </c>
      <c r="O142" s="18" t="s">
        <v>4506</v>
      </c>
      <c r="P142" s="310" t="s">
        <v>4470</v>
      </c>
      <c r="Q142" s="310" t="s">
        <v>4420</v>
      </c>
      <c r="R142" s="310" t="s">
        <v>6165</v>
      </c>
      <c r="S142" s="32">
        <v>12</v>
      </c>
      <c r="T142" s="59" t="s">
        <v>4420</v>
      </c>
      <c r="U142" s="59" t="s">
        <v>5791</v>
      </c>
      <c r="V142" s="59" t="s">
        <v>4420</v>
      </c>
      <c r="W142" s="59" t="s">
        <v>5791</v>
      </c>
      <c r="X142" s="310" t="s">
        <v>4420</v>
      </c>
      <c r="Y142" s="310" t="s">
        <v>5791</v>
      </c>
      <c r="Z142" s="32" t="s">
        <v>4558</v>
      </c>
      <c r="AA142" s="72">
        <v>6</v>
      </c>
      <c r="AB142" s="224">
        <v>0</v>
      </c>
      <c r="AC142" s="18">
        <v>0</v>
      </c>
      <c r="AD142" s="301" t="s">
        <v>4011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1" t="s">
        <v>3919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3"/>
        <v>20</v>
      </c>
      <c r="AW142" s="301" t="s">
        <v>5806</v>
      </c>
      <c r="AX142" s="310" t="s">
        <v>6129</v>
      </c>
      <c r="AY142" s="310" t="s">
        <v>6129</v>
      </c>
      <c r="AZ142" s="21">
        <v>18</v>
      </c>
      <c r="BA142" s="21">
        <v>192</v>
      </c>
      <c r="BB142" s="21">
        <v>70</v>
      </c>
      <c r="BC142" s="21">
        <f t="shared" si="34"/>
        <v>70</v>
      </c>
      <c r="BD142" s="21">
        <v>130</v>
      </c>
      <c r="BE142" s="21">
        <v>100</v>
      </c>
      <c r="BF142" s="21">
        <v>0</v>
      </c>
      <c r="BG142" s="15" t="s">
        <v>4470</v>
      </c>
      <c r="BH142" s="310" t="s">
        <v>6204</v>
      </c>
      <c r="BI142" s="310" t="s">
        <v>6204</v>
      </c>
      <c r="BJ142" s="310">
        <v>2</v>
      </c>
      <c r="BK142" s="18">
        <v>6</v>
      </c>
      <c r="BL142" s="301">
        <v>120</v>
      </c>
      <c r="BM142" s="310">
        <v>1000</v>
      </c>
      <c r="BN142" s="310" t="s">
        <v>6186</v>
      </c>
      <c r="BO142" s="310">
        <v>1.2</v>
      </c>
      <c r="BP142" s="310">
        <v>130</v>
      </c>
      <c r="BQ142" s="310">
        <v>1810</v>
      </c>
      <c r="BR142" s="310">
        <v>55</v>
      </c>
      <c r="BS142" s="18" t="s">
        <v>4590</v>
      </c>
      <c r="BT142" s="301" t="s">
        <v>5855</v>
      </c>
      <c r="BU142" s="310">
        <v>9</v>
      </c>
      <c r="BV142" s="310">
        <v>1</v>
      </c>
      <c r="BW142" s="310">
        <v>19</v>
      </c>
      <c r="BX142" s="310">
        <v>100</v>
      </c>
      <c r="BY142" s="32">
        <v>45</v>
      </c>
      <c r="BZ142" s="72">
        <v>160</v>
      </c>
      <c r="CA142" s="310" t="s">
        <v>4572</v>
      </c>
      <c r="CB142" s="310" t="s">
        <v>4641</v>
      </c>
      <c r="CC142" s="21">
        <v>0</v>
      </c>
      <c r="CD142" s="21">
        <f>10*PI()*8^2/4</f>
        <v>502.6548245743669</v>
      </c>
      <c r="CE142" s="310">
        <v>28</v>
      </c>
      <c r="CF142" s="119">
        <v>7.7000000000000002E-3</v>
      </c>
      <c r="CG142" s="310" t="s">
        <v>4449</v>
      </c>
      <c r="CH142" s="45">
        <v>235</v>
      </c>
      <c r="CI142" s="310">
        <v>310</v>
      </c>
      <c r="CJ142" s="45">
        <v>360</v>
      </c>
      <c r="CK142" s="310">
        <v>435</v>
      </c>
      <c r="CL142" s="66">
        <v>200000</v>
      </c>
      <c r="CM142" s="301" t="s">
        <v>4449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10" t="s">
        <v>4449</v>
      </c>
      <c r="CT142" s="46">
        <v>235</v>
      </c>
      <c r="CU142" s="310">
        <v>310</v>
      </c>
      <c r="CV142" s="46">
        <v>360</v>
      </c>
      <c r="CW142" s="310">
        <v>435</v>
      </c>
      <c r="CX142" s="66">
        <v>200000</v>
      </c>
      <c r="CY142" s="310" t="s">
        <v>5795</v>
      </c>
      <c r="CZ142" s="33">
        <v>37</v>
      </c>
      <c r="DA142" s="33">
        <v>2.9</v>
      </c>
      <c r="DB142" s="66">
        <v>33000</v>
      </c>
      <c r="DC142" s="301">
        <v>540</v>
      </c>
      <c r="DD142" s="32">
        <v>650</v>
      </c>
      <c r="DE142" s="66">
        <v>200000</v>
      </c>
      <c r="DF142" s="295">
        <v>320</v>
      </c>
      <c r="DG142" s="310">
        <v>10.9</v>
      </c>
      <c r="DH142" s="303">
        <v>900</v>
      </c>
      <c r="DI142" s="32">
        <v>990</v>
      </c>
      <c r="DJ142" s="303">
        <v>1000</v>
      </c>
      <c r="DK142" s="32">
        <v>1100</v>
      </c>
      <c r="DL142" s="60">
        <v>205000</v>
      </c>
      <c r="DM142" s="40" t="s">
        <v>5854</v>
      </c>
      <c r="DN142" s="310" t="s">
        <v>4435</v>
      </c>
      <c r="DO142" s="306" t="s">
        <v>4565</v>
      </c>
    </row>
    <row r="143" spans="1:119">
      <c r="A143" s="18">
        <v>138</v>
      </c>
      <c r="B143" s="349"/>
      <c r="C143" s="349"/>
      <c r="D143" s="360"/>
      <c r="E143" s="360"/>
      <c r="F143" s="349"/>
      <c r="G143" s="349"/>
      <c r="H143" s="349"/>
      <c r="I143" s="349"/>
      <c r="J143" s="286" t="s">
        <v>4638</v>
      </c>
      <c r="K143" s="301" t="s">
        <v>4383</v>
      </c>
      <c r="L143" s="32" t="s">
        <v>5791</v>
      </c>
      <c r="M143" s="301" t="s">
        <v>4507</v>
      </c>
      <c r="N143" s="310" t="s">
        <v>4700</v>
      </c>
      <c r="O143" s="18" t="s">
        <v>4506</v>
      </c>
      <c r="P143" s="310" t="s">
        <v>4470</v>
      </c>
      <c r="Q143" s="310" t="s">
        <v>4420</v>
      </c>
      <c r="R143" s="310" t="s">
        <v>6165</v>
      </c>
      <c r="S143" s="32">
        <v>12</v>
      </c>
      <c r="T143" s="59" t="s">
        <v>4420</v>
      </c>
      <c r="U143" s="59" t="s">
        <v>5791</v>
      </c>
      <c r="V143" s="59" t="s">
        <v>4420</v>
      </c>
      <c r="W143" s="59" t="s">
        <v>5791</v>
      </c>
      <c r="X143" s="310" t="s">
        <v>4420</v>
      </c>
      <c r="Y143" s="310" t="s">
        <v>5791</v>
      </c>
      <c r="Z143" s="32" t="s">
        <v>4558</v>
      </c>
      <c r="AA143" s="72">
        <v>6</v>
      </c>
      <c r="AB143" s="224">
        <v>0</v>
      </c>
      <c r="AC143" s="18">
        <v>0</v>
      </c>
      <c r="AD143" s="301" t="s">
        <v>3973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1" t="s">
        <v>3919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3"/>
        <v>20</v>
      </c>
      <c r="AW143" s="301" t="s">
        <v>5806</v>
      </c>
      <c r="AX143" s="310" t="s">
        <v>6129</v>
      </c>
      <c r="AY143" s="310" t="s">
        <v>6129</v>
      </c>
      <c r="AZ143" s="310">
        <v>18</v>
      </c>
      <c r="BA143" s="310">
        <v>192</v>
      </c>
      <c r="BB143" s="21">
        <v>70</v>
      </c>
      <c r="BC143" s="21">
        <f t="shared" si="34"/>
        <v>70</v>
      </c>
      <c r="BD143" s="21">
        <v>130</v>
      </c>
      <c r="BE143" s="21">
        <v>100</v>
      </c>
      <c r="BF143" s="21">
        <v>0</v>
      </c>
      <c r="BG143" s="15" t="s">
        <v>4470</v>
      </c>
      <c r="BH143" s="310" t="s">
        <v>6204</v>
      </c>
      <c r="BI143" s="310" t="s">
        <v>6204</v>
      </c>
      <c r="BJ143" s="310">
        <v>2</v>
      </c>
      <c r="BK143" s="18">
        <v>6</v>
      </c>
      <c r="BL143" s="301">
        <v>120</v>
      </c>
      <c r="BM143" s="310">
        <v>1000</v>
      </c>
      <c r="BN143" s="310" t="s">
        <v>6187</v>
      </c>
      <c r="BO143" s="310">
        <v>0.8</v>
      </c>
      <c r="BP143" s="310">
        <v>124</v>
      </c>
      <c r="BQ143" s="310">
        <v>1183</v>
      </c>
      <c r="BR143" s="310">
        <v>40</v>
      </c>
      <c r="BS143" s="18" t="s">
        <v>4590</v>
      </c>
      <c r="BT143" s="301" t="s">
        <v>5857</v>
      </c>
      <c r="BU143" s="310">
        <v>17</v>
      </c>
      <c r="BV143" s="310">
        <v>1</v>
      </c>
      <c r="BW143" s="21">
        <v>24.3</v>
      </c>
      <c r="BX143" s="310">
        <v>80</v>
      </c>
      <c r="BY143" s="310">
        <v>45</v>
      </c>
      <c r="BZ143" s="18">
        <v>120</v>
      </c>
      <c r="CA143" s="310" t="s">
        <v>4572</v>
      </c>
      <c r="CB143" s="310" t="s">
        <v>6105</v>
      </c>
      <c r="CC143" s="21">
        <v>0</v>
      </c>
      <c r="CD143" s="21">
        <f>14*PI()*8^2/4+10*PI()*6^2/4</f>
        <v>986.4600932271951</v>
      </c>
      <c r="CE143" s="310">
        <v>28</v>
      </c>
      <c r="CF143" s="119">
        <v>1.23E-2</v>
      </c>
      <c r="CG143" s="310" t="s">
        <v>4449</v>
      </c>
      <c r="CH143" s="45">
        <v>235</v>
      </c>
      <c r="CI143" s="310">
        <v>310</v>
      </c>
      <c r="CJ143" s="45">
        <v>360</v>
      </c>
      <c r="CK143" s="310">
        <v>435</v>
      </c>
      <c r="CL143" s="66">
        <v>200000</v>
      </c>
      <c r="CM143" s="301" t="s">
        <v>4449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10" t="s">
        <v>4449</v>
      </c>
      <c r="CT143" s="46">
        <v>235</v>
      </c>
      <c r="CU143" s="310">
        <v>310</v>
      </c>
      <c r="CV143" s="46">
        <v>360</v>
      </c>
      <c r="CW143" s="310">
        <v>435</v>
      </c>
      <c r="CX143" s="66">
        <v>200000</v>
      </c>
      <c r="CY143" s="310" t="s">
        <v>5795</v>
      </c>
      <c r="CZ143" s="33">
        <v>37</v>
      </c>
      <c r="DA143" s="33">
        <v>2.9</v>
      </c>
      <c r="DB143" s="66">
        <v>33000</v>
      </c>
      <c r="DC143" s="301">
        <v>540</v>
      </c>
      <c r="DD143" s="32">
        <v>650</v>
      </c>
      <c r="DE143" s="66">
        <v>200000</v>
      </c>
      <c r="DF143" s="295">
        <v>350</v>
      </c>
      <c r="DG143" s="310">
        <v>10.9</v>
      </c>
      <c r="DH143" s="303">
        <v>900</v>
      </c>
      <c r="DI143" s="32">
        <v>990</v>
      </c>
      <c r="DJ143" s="303">
        <v>1000</v>
      </c>
      <c r="DK143" s="32">
        <v>1100</v>
      </c>
      <c r="DL143" s="60">
        <v>205000</v>
      </c>
      <c r="DM143" s="40" t="s">
        <v>6064</v>
      </c>
      <c r="DN143" s="310" t="s">
        <v>4435</v>
      </c>
      <c r="DO143" s="306" t="s">
        <v>6211</v>
      </c>
    </row>
    <row r="144" spans="1:119">
      <c r="A144" s="18">
        <v>139</v>
      </c>
      <c r="B144" s="349"/>
      <c r="C144" s="349"/>
      <c r="D144" s="360"/>
      <c r="E144" s="360"/>
      <c r="F144" s="349"/>
      <c r="G144" s="349"/>
      <c r="H144" s="349"/>
      <c r="I144" s="349"/>
      <c r="J144" s="286" t="s">
        <v>4639</v>
      </c>
      <c r="K144" s="301" t="s">
        <v>4383</v>
      </c>
      <c r="L144" s="32" t="s">
        <v>5791</v>
      </c>
      <c r="M144" s="301" t="s">
        <v>4507</v>
      </c>
      <c r="N144" s="310" t="s">
        <v>4700</v>
      </c>
      <c r="O144" s="18" t="s">
        <v>4506</v>
      </c>
      <c r="P144" s="310" t="s">
        <v>4470</v>
      </c>
      <c r="Q144" s="310" t="s">
        <v>4420</v>
      </c>
      <c r="R144" s="310" t="s">
        <v>6165</v>
      </c>
      <c r="S144" s="32">
        <v>12</v>
      </c>
      <c r="T144" s="59" t="s">
        <v>4420</v>
      </c>
      <c r="U144" s="59" t="s">
        <v>5791</v>
      </c>
      <c r="V144" s="59" t="s">
        <v>4420</v>
      </c>
      <c r="W144" s="59" t="s">
        <v>5791</v>
      </c>
      <c r="X144" s="310" t="s">
        <v>4420</v>
      </c>
      <c r="Y144" s="310" t="s">
        <v>5791</v>
      </c>
      <c r="Z144" s="32" t="s">
        <v>4558</v>
      </c>
      <c r="AA144" s="72">
        <v>6</v>
      </c>
      <c r="AB144" s="224">
        <v>0</v>
      </c>
      <c r="AC144" s="18">
        <v>0</v>
      </c>
      <c r="AD144" s="301" t="s">
        <v>3973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1" t="s">
        <v>3919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3"/>
        <v>20</v>
      </c>
      <c r="AW144" s="301" t="s">
        <v>5806</v>
      </c>
      <c r="AX144" s="310" t="s">
        <v>6129</v>
      </c>
      <c r="AY144" s="310" t="s">
        <v>6129</v>
      </c>
      <c r="AZ144" s="310">
        <v>18</v>
      </c>
      <c r="BA144" s="310">
        <v>192</v>
      </c>
      <c r="BB144" s="21">
        <v>70</v>
      </c>
      <c r="BC144" s="21">
        <f t="shared" si="34"/>
        <v>70</v>
      </c>
      <c r="BD144" s="21">
        <v>130</v>
      </c>
      <c r="BE144" s="21">
        <v>100</v>
      </c>
      <c r="BF144" s="21">
        <v>0</v>
      </c>
      <c r="BG144" s="15" t="s">
        <v>4470</v>
      </c>
      <c r="BH144" s="310" t="s">
        <v>6204</v>
      </c>
      <c r="BI144" s="310" t="s">
        <v>6204</v>
      </c>
      <c r="BJ144" s="310">
        <v>2</v>
      </c>
      <c r="BK144" s="18">
        <v>6</v>
      </c>
      <c r="BL144" s="301">
        <v>120</v>
      </c>
      <c r="BM144" s="310">
        <v>1000</v>
      </c>
      <c r="BN144" s="310" t="s">
        <v>6187</v>
      </c>
      <c r="BO144" s="310">
        <v>0.8</v>
      </c>
      <c r="BP144" s="310">
        <v>124</v>
      </c>
      <c r="BQ144" s="310">
        <v>1183</v>
      </c>
      <c r="BR144" s="310">
        <v>40</v>
      </c>
      <c r="BS144" s="18" t="s">
        <v>4590</v>
      </c>
      <c r="BT144" s="301" t="s">
        <v>5857</v>
      </c>
      <c r="BU144" s="310">
        <v>12</v>
      </c>
      <c r="BV144" s="310">
        <v>1</v>
      </c>
      <c r="BW144" s="21">
        <v>24.3</v>
      </c>
      <c r="BX144" s="310">
        <v>80</v>
      </c>
      <c r="BY144" s="310">
        <v>45</v>
      </c>
      <c r="BZ144" s="18">
        <v>120</v>
      </c>
      <c r="CA144" s="310" t="s">
        <v>4572</v>
      </c>
      <c r="CB144" s="310" t="s">
        <v>6105</v>
      </c>
      <c r="CC144" s="21">
        <v>0</v>
      </c>
      <c r="CD144" s="21">
        <f>14*PI()*8^2/4+10*PI()*6^2/4</f>
        <v>986.4600932271951</v>
      </c>
      <c r="CE144" s="310">
        <v>28</v>
      </c>
      <c r="CF144" s="119">
        <v>1.23E-2</v>
      </c>
      <c r="CG144" s="310" t="s">
        <v>4449</v>
      </c>
      <c r="CH144" s="45">
        <v>235</v>
      </c>
      <c r="CI144" s="310">
        <v>310</v>
      </c>
      <c r="CJ144" s="45">
        <v>360</v>
      </c>
      <c r="CK144" s="310">
        <v>435</v>
      </c>
      <c r="CL144" s="66">
        <v>200000</v>
      </c>
      <c r="CM144" s="301" t="s">
        <v>4449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10" t="s">
        <v>4449</v>
      </c>
      <c r="CT144" s="46">
        <v>235</v>
      </c>
      <c r="CU144" s="310">
        <v>310</v>
      </c>
      <c r="CV144" s="46">
        <v>360</v>
      </c>
      <c r="CW144" s="310">
        <v>435</v>
      </c>
      <c r="CX144" s="66">
        <v>200000</v>
      </c>
      <c r="CY144" s="310" t="s">
        <v>5795</v>
      </c>
      <c r="CZ144" s="33">
        <v>37</v>
      </c>
      <c r="DA144" s="33">
        <v>2.9</v>
      </c>
      <c r="DB144" s="66">
        <v>33000</v>
      </c>
      <c r="DC144" s="301">
        <v>540</v>
      </c>
      <c r="DD144" s="32">
        <v>650</v>
      </c>
      <c r="DE144" s="66">
        <v>200000</v>
      </c>
      <c r="DF144" s="295">
        <v>350</v>
      </c>
      <c r="DG144" s="310">
        <v>10.9</v>
      </c>
      <c r="DH144" s="303">
        <v>900</v>
      </c>
      <c r="DI144" s="32">
        <v>990</v>
      </c>
      <c r="DJ144" s="303">
        <v>1000</v>
      </c>
      <c r="DK144" s="32">
        <v>1100</v>
      </c>
      <c r="DL144" s="60">
        <v>205000</v>
      </c>
      <c r="DM144" s="40" t="s">
        <v>6065</v>
      </c>
      <c r="DN144" s="310" t="s">
        <v>4435</v>
      </c>
      <c r="DO144" s="306" t="s">
        <v>6212</v>
      </c>
    </row>
    <row r="145" spans="1:119" ht="16.2" thickBot="1">
      <c r="A145" s="14">
        <v>140</v>
      </c>
      <c r="B145" s="350"/>
      <c r="C145" s="350"/>
      <c r="D145" s="372"/>
      <c r="E145" s="372"/>
      <c r="F145" s="350"/>
      <c r="G145" s="350"/>
      <c r="H145" s="350"/>
      <c r="I145" s="350"/>
      <c r="J145" s="285" t="s">
        <v>4640</v>
      </c>
      <c r="K145" s="308" t="s">
        <v>4383</v>
      </c>
      <c r="L145" s="34" t="s">
        <v>5791</v>
      </c>
      <c r="M145" s="308" t="s">
        <v>4507</v>
      </c>
      <c r="N145" s="311" t="s">
        <v>4700</v>
      </c>
      <c r="O145" s="14" t="s">
        <v>4506</v>
      </c>
      <c r="P145" s="311" t="s">
        <v>4470</v>
      </c>
      <c r="Q145" s="311" t="s">
        <v>4420</v>
      </c>
      <c r="R145" s="311" t="s">
        <v>6165</v>
      </c>
      <c r="S145" s="34">
        <v>12</v>
      </c>
      <c r="T145" s="86" t="s">
        <v>4420</v>
      </c>
      <c r="U145" s="86" t="s">
        <v>5791</v>
      </c>
      <c r="V145" s="86" t="s">
        <v>4420</v>
      </c>
      <c r="W145" s="86" t="s">
        <v>5791</v>
      </c>
      <c r="X145" s="311" t="s">
        <v>4420</v>
      </c>
      <c r="Y145" s="311" t="s">
        <v>5791</v>
      </c>
      <c r="Z145" s="32" t="s">
        <v>4558</v>
      </c>
      <c r="AA145" s="72">
        <v>6</v>
      </c>
      <c r="AB145" s="226">
        <v>0</v>
      </c>
      <c r="AC145" s="14">
        <v>0</v>
      </c>
      <c r="AD145" s="308" t="s">
        <v>3973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8" t="s">
        <v>3919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3"/>
        <v>20</v>
      </c>
      <c r="AW145" s="308" t="s">
        <v>5806</v>
      </c>
      <c r="AX145" s="311" t="s">
        <v>6129</v>
      </c>
      <c r="AY145" s="311" t="s">
        <v>6129</v>
      </c>
      <c r="AZ145" s="311">
        <v>18</v>
      </c>
      <c r="BA145" s="311">
        <v>192</v>
      </c>
      <c r="BB145" s="23">
        <v>70</v>
      </c>
      <c r="BC145" s="23">
        <f t="shared" si="34"/>
        <v>70</v>
      </c>
      <c r="BD145" s="23">
        <v>130</v>
      </c>
      <c r="BE145" s="23">
        <v>100</v>
      </c>
      <c r="BF145" s="23">
        <v>0</v>
      </c>
      <c r="BG145" s="19" t="s">
        <v>4470</v>
      </c>
      <c r="BH145" s="311" t="s">
        <v>6204</v>
      </c>
      <c r="BI145" s="311" t="s">
        <v>6204</v>
      </c>
      <c r="BJ145" s="311">
        <v>2</v>
      </c>
      <c r="BK145" s="14">
        <v>6</v>
      </c>
      <c r="BL145" s="308">
        <v>120</v>
      </c>
      <c r="BM145" s="311">
        <v>1000</v>
      </c>
      <c r="BN145" s="311" t="s">
        <v>6187</v>
      </c>
      <c r="BO145" s="311">
        <v>0.8</v>
      </c>
      <c r="BP145" s="311">
        <v>124</v>
      </c>
      <c r="BQ145" s="311">
        <v>1183</v>
      </c>
      <c r="BR145" s="311">
        <v>40</v>
      </c>
      <c r="BS145" s="14" t="s">
        <v>4590</v>
      </c>
      <c r="BT145" s="308" t="s">
        <v>5857</v>
      </c>
      <c r="BU145" s="311">
        <v>8</v>
      </c>
      <c r="BV145" s="311">
        <v>1</v>
      </c>
      <c r="BW145" s="23">
        <v>24.3</v>
      </c>
      <c r="BX145" s="311">
        <v>80</v>
      </c>
      <c r="BY145" s="311">
        <v>45</v>
      </c>
      <c r="BZ145" s="14">
        <v>120</v>
      </c>
      <c r="CA145" s="311" t="s">
        <v>4572</v>
      </c>
      <c r="CB145" s="311" t="s">
        <v>6105</v>
      </c>
      <c r="CC145" s="23">
        <v>0</v>
      </c>
      <c r="CD145" s="23">
        <f>14*PI()*8^2/4+10*PI()*6^2/4</f>
        <v>986.4600932271951</v>
      </c>
      <c r="CE145" s="311">
        <v>28</v>
      </c>
      <c r="CF145" s="120">
        <v>1.23E-2</v>
      </c>
      <c r="CG145" s="311" t="s">
        <v>4449</v>
      </c>
      <c r="CH145" s="55">
        <v>235</v>
      </c>
      <c r="CI145" s="311">
        <v>310</v>
      </c>
      <c r="CJ145" s="55">
        <v>360</v>
      </c>
      <c r="CK145" s="311">
        <v>435</v>
      </c>
      <c r="CL145" s="69">
        <v>200000</v>
      </c>
      <c r="CM145" s="308" t="s">
        <v>4449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11" t="s">
        <v>4449</v>
      </c>
      <c r="CT145" s="84">
        <v>235</v>
      </c>
      <c r="CU145" s="311">
        <v>310</v>
      </c>
      <c r="CV145" s="84">
        <v>360</v>
      </c>
      <c r="CW145" s="311">
        <v>435</v>
      </c>
      <c r="CX145" s="69">
        <v>200000</v>
      </c>
      <c r="CY145" s="311" t="s">
        <v>5795</v>
      </c>
      <c r="CZ145" s="35">
        <v>37</v>
      </c>
      <c r="DA145" s="35">
        <v>2.9</v>
      </c>
      <c r="DB145" s="66">
        <v>33000</v>
      </c>
      <c r="DC145" s="308">
        <v>540</v>
      </c>
      <c r="DD145" s="34">
        <v>650</v>
      </c>
      <c r="DE145" s="69">
        <v>200000</v>
      </c>
      <c r="DF145" s="296">
        <v>350</v>
      </c>
      <c r="DG145" s="311">
        <v>10.9</v>
      </c>
      <c r="DH145" s="304">
        <v>900</v>
      </c>
      <c r="DI145" s="34">
        <v>990</v>
      </c>
      <c r="DJ145" s="304">
        <v>1000</v>
      </c>
      <c r="DK145" s="34">
        <v>1100</v>
      </c>
      <c r="DL145" s="76">
        <v>205000</v>
      </c>
      <c r="DM145" s="41" t="s">
        <v>6065</v>
      </c>
      <c r="DN145" s="311" t="s">
        <v>4435</v>
      </c>
      <c r="DO145" s="307" t="s">
        <v>6213</v>
      </c>
    </row>
    <row r="146" spans="1:119" ht="15.6" customHeight="1">
      <c r="A146" s="18">
        <v>141</v>
      </c>
      <c r="B146" s="351">
        <v>20</v>
      </c>
      <c r="C146" s="351">
        <v>1994</v>
      </c>
      <c r="D146" s="357" t="s">
        <v>4671</v>
      </c>
      <c r="E146" s="359" t="s">
        <v>4859</v>
      </c>
      <c r="F146" s="348">
        <v>10</v>
      </c>
      <c r="G146" s="368" t="s">
        <v>5911</v>
      </c>
      <c r="H146" s="368" t="s">
        <v>5901</v>
      </c>
      <c r="I146" s="368" t="s">
        <v>6229</v>
      </c>
      <c r="J146" s="286" t="s">
        <v>6071</v>
      </c>
      <c r="K146" s="301" t="s">
        <v>6320</v>
      </c>
      <c r="L146" s="310" t="s">
        <v>5791</v>
      </c>
      <c r="M146" s="301" t="s">
        <v>4507</v>
      </c>
      <c r="N146" s="310" t="s">
        <v>4701</v>
      </c>
      <c r="O146" s="18" t="s">
        <v>4506</v>
      </c>
      <c r="P146" s="310" t="s">
        <v>4470</v>
      </c>
      <c r="Q146" s="310" t="s">
        <v>4420</v>
      </c>
      <c r="R146" s="310" t="s">
        <v>6165</v>
      </c>
      <c r="S146" s="310">
        <v>12</v>
      </c>
      <c r="T146" s="59" t="s">
        <v>4420</v>
      </c>
      <c r="U146" s="59" t="s">
        <v>5791</v>
      </c>
      <c r="V146" s="59" t="s">
        <v>4420</v>
      </c>
      <c r="W146" s="59" t="s">
        <v>5791</v>
      </c>
      <c r="X146" s="310" t="s">
        <v>4420</v>
      </c>
      <c r="Y146" s="310" t="s">
        <v>5791</v>
      </c>
      <c r="Z146" s="310" t="s">
        <v>4558</v>
      </c>
      <c r="AA146" s="18">
        <v>10</v>
      </c>
      <c r="AB146" s="224">
        <v>0</v>
      </c>
      <c r="AC146" s="18">
        <v>0</v>
      </c>
      <c r="AD146" s="301" t="s">
        <v>6321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1" t="s">
        <v>4217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5806</v>
      </c>
      <c r="AX146" s="310" t="s">
        <v>4562</v>
      </c>
      <c r="AY146" s="310">
        <f>200/AZ146/0.25</f>
        <v>40</v>
      </c>
      <c r="AZ146" s="310">
        <v>20</v>
      </c>
      <c r="BA146" s="310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6318</v>
      </c>
      <c r="BH146" s="310" t="s">
        <v>6204</v>
      </c>
      <c r="BI146" s="310" t="s">
        <v>6204</v>
      </c>
      <c r="BJ146" s="310">
        <v>2</v>
      </c>
      <c r="BK146" s="310">
        <v>4</v>
      </c>
      <c r="BL146" s="301">
        <v>120</v>
      </c>
      <c r="BM146" s="310">
        <v>1100</v>
      </c>
      <c r="BN146" s="310" t="s">
        <v>6188</v>
      </c>
      <c r="BO146" s="310">
        <v>0.9</v>
      </c>
      <c r="BP146" s="310">
        <v>105</v>
      </c>
      <c r="BQ146" s="310">
        <v>1137</v>
      </c>
      <c r="BR146" s="310">
        <v>46</v>
      </c>
      <c r="BS146" s="310" t="s">
        <v>4590</v>
      </c>
      <c r="BT146" s="301" t="s">
        <v>5855</v>
      </c>
      <c r="BU146" s="310">
        <v>7</v>
      </c>
      <c r="BV146" s="310">
        <v>1</v>
      </c>
      <c r="BW146" s="310">
        <v>19</v>
      </c>
      <c r="BX146" s="310">
        <v>100</v>
      </c>
      <c r="BY146" s="310">
        <v>90</v>
      </c>
      <c r="BZ146" s="18">
        <v>225</v>
      </c>
      <c r="CA146" s="310" t="s">
        <v>4573</v>
      </c>
      <c r="CB146" s="310" t="s">
        <v>4582</v>
      </c>
      <c r="CC146" s="21">
        <f t="shared" ref="CC146:CC149" si="35">142*BM146/1000</f>
        <v>156.19999999999999</v>
      </c>
      <c r="CD146" s="21">
        <f>8*PI()*12^2/4</f>
        <v>904.77868423386042</v>
      </c>
      <c r="CE146" s="310">
        <v>25</v>
      </c>
      <c r="CF146" s="119">
        <v>1.11E-2</v>
      </c>
      <c r="CG146" s="310" t="s">
        <v>5664</v>
      </c>
      <c r="CH146" s="45">
        <v>275</v>
      </c>
      <c r="CI146" s="310">
        <v>290</v>
      </c>
      <c r="CJ146" s="45">
        <v>410</v>
      </c>
      <c r="CK146" s="310">
        <v>496</v>
      </c>
      <c r="CL146" s="68">
        <v>206000</v>
      </c>
      <c r="CM146" s="310" t="s">
        <v>5664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10" t="s">
        <v>5664</v>
      </c>
      <c r="CT146" s="46">
        <v>275</v>
      </c>
      <c r="CU146" s="310">
        <v>308</v>
      </c>
      <c r="CV146" s="46">
        <v>410</v>
      </c>
      <c r="CW146" s="310">
        <v>503</v>
      </c>
      <c r="CX146" s="60">
        <v>200000</v>
      </c>
      <c r="CY146" s="301" t="s">
        <v>6067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5">
        <v>280</v>
      </c>
      <c r="DG146" s="310">
        <v>8.8000000000000007</v>
      </c>
      <c r="DH146" s="310">
        <v>640</v>
      </c>
      <c r="DI146" s="32">
        <v>730</v>
      </c>
      <c r="DJ146" s="310">
        <v>800</v>
      </c>
      <c r="DK146" s="32">
        <v>940</v>
      </c>
      <c r="DL146" s="60">
        <v>200000</v>
      </c>
      <c r="DM146" s="42" t="s">
        <v>6076</v>
      </c>
      <c r="DN146" s="310" t="s">
        <v>4435</v>
      </c>
      <c r="DO146" s="306" t="s">
        <v>4565</v>
      </c>
    </row>
    <row r="147" spans="1:119">
      <c r="A147" s="18">
        <v>142</v>
      </c>
      <c r="B147" s="361"/>
      <c r="C147" s="361"/>
      <c r="D147" s="358"/>
      <c r="E147" s="360"/>
      <c r="F147" s="349"/>
      <c r="G147" s="369"/>
      <c r="H147" s="369"/>
      <c r="I147" s="369"/>
      <c r="J147" s="286" t="s">
        <v>6070</v>
      </c>
      <c r="K147" s="301" t="s">
        <v>4383</v>
      </c>
      <c r="L147" s="310" t="s">
        <v>5791</v>
      </c>
      <c r="M147" s="301" t="s">
        <v>4507</v>
      </c>
      <c r="N147" s="310" t="s">
        <v>4701</v>
      </c>
      <c r="O147" s="18" t="s">
        <v>4506</v>
      </c>
      <c r="P147" s="310" t="s">
        <v>4470</v>
      </c>
      <c r="Q147" s="310" t="s">
        <v>4420</v>
      </c>
      <c r="R147" s="310" t="s">
        <v>6165</v>
      </c>
      <c r="S147" s="310">
        <v>12</v>
      </c>
      <c r="T147" s="59" t="s">
        <v>4420</v>
      </c>
      <c r="U147" s="59" t="s">
        <v>5791</v>
      </c>
      <c r="V147" s="59" t="s">
        <v>4420</v>
      </c>
      <c r="W147" s="59" t="s">
        <v>5791</v>
      </c>
      <c r="X147" s="310" t="s">
        <v>4420</v>
      </c>
      <c r="Y147" s="310" t="s">
        <v>5791</v>
      </c>
      <c r="Z147" s="310" t="s">
        <v>4558</v>
      </c>
      <c r="AA147" s="18">
        <v>10</v>
      </c>
      <c r="AB147" s="224">
        <v>0</v>
      </c>
      <c r="AC147" s="18">
        <v>0</v>
      </c>
      <c r="AD147" s="301" t="s">
        <v>4342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1" t="s">
        <v>4217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6">(AT147-AK147)/2</f>
        <v>24.300000000000011</v>
      </c>
      <c r="AV147" s="21">
        <v>24.300000000000011</v>
      </c>
      <c r="AW147" s="301" t="s">
        <v>5806</v>
      </c>
      <c r="AX147" s="310" t="s">
        <v>4562</v>
      </c>
      <c r="AY147" s="310">
        <f>200/AZ147/0.25</f>
        <v>40</v>
      </c>
      <c r="AZ147" s="310">
        <v>20</v>
      </c>
      <c r="BA147" s="310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4470</v>
      </c>
      <c r="BH147" s="310" t="s">
        <v>6204</v>
      </c>
      <c r="BI147" s="310" t="s">
        <v>6204</v>
      </c>
      <c r="BJ147" s="310">
        <v>2</v>
      </c>
      <c r="BK147" s="310">
        <v>4</v>
      </c>
      <c r="BL147" s="301">
        <v>120</v>
      </c>
      <c r="BM147" s="310">
        <v>1100</v>
      </c>
      <c r="BN147" s="310" t="s">
        <v>6188</v>
      </c>
      <c r="BO147" s="310">
        <v>0.9</v>
      </c>
      <c r="BP147" s="310">
        <v>105</v>
      </c>
      <c r="BQ147" s="310">
        <v>1137</v>
      </c>
      <c r="BR147" s="310">
        <v>46</v>
      </c>
      <c r="BS147" s="310" t="s">
        <v>4590</v>
      </c>
      <c r="BT147" s="301" t="s">
        <v>5855</v>
      </c>
      <c r="BU147" s="310">
        <v>7</v>
      </c>
      <c r="BV147" s="310">
        <v>1</v>
      </c>
      <c r="BW147" s="310">
        <v>19</v>
      </c>
      <c r="BX147" s="310">
        <v>100</v>
      </c>
      <c r="BY147" s="310">
        <v>90</v>
      </c>
      <c r="BZ147" s="18">
        <v>225</v>
      </c>
      <c r="CA147" s="310" t="s">
        <v>4573</v>
      </c>
      <c r="CB147" s="310" t="s">
        <v>4581</v>
      </c>
      <c r="CC147" s="21">
        <f t="shared" si="35"/>
        <v>156.19999999999999</v>
      </c>
      <c r="CD147" s="21">
        <f>4*PI()*12^2/4</f>
        <v>452.38934211693021</v>
      </c>
      <c r="CE147" s="310">
        <v>25</v>
      </c>
      <c r="CF147" s="119">
        <v>5.5999999999999999E-3</v>
      </c>
      <c r="CG147" s="310" t="s">
        <v>5664</v>
      </c>
      <c r="CH147" s="45">
        <v>275</v>
      </c>
      <c r="CI147" s="310">
        <v>290</v>
      </c>
      <c r="CJ147" s="45">
        <v>410</v>
      </c>
      <c r="CK147" s="310">
        <v>496</v>
      </c>
      <c r="CL147" s="68">
        <v>206000</v>
      </c>
      <c r="CM147" s="310" t="s">
        <v>5664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10" t="s">
        <v>5664</v>
      </c>
      <c r="CT147" s="46">
        <v>275</v>
      </c>
      <c r="CU147" s="310">
        <v>308</v>
      </c>
      <c r="CV147" s="46">
        <v>410</v>
      </c>
      <c r="CW147" s="310">
        <v>503</v>
      </c>
      <c r="CX147" s="66">
        <v>200000</v>
      </c>
      <c r="CY147" s="310" t="s">
        <v>6067</v>
      </c>
      <c r="CZ147" s="21">
        <v>46.8</v>
      </c>
      <c r="DA147" s="21">
        <v>3.31</v>
      </c>
      <c r="DB147" s="66">
        <v>33000</v>
      </c>
      <c r="DC147" s="301">
        <v>486</v>
      </c>
      <c r="DD147" s="310">
        <v>557</v>
      </c>
      <c r="DE147" s="66">
        <v>200000</v>
      </c>
      <c r="DF147" s="295">
        <v>280</v>
      </c>
      <c r="DG147" s="310">
        <v>8.8000000000000007</v>
      </c>
      <c r="DH147" s="310">
        <v>640</v>
      </c>
      <c r="DI147" s="32">
        <v>730</v>
      </c>
      <c r="DJ147" s="310">
        <v>800</v>
      </c>
      <c r="DK147" s="32">
        <v>940</v>
      </c>
      <c r="DL147" s="60">
        <v>200000</v>
      </c>
      <c r="DM147" s="40" t="s">
        <v>6077</v>
      </c>
      <c r="DN147" s="310" t="s">
        <v>4435</v>
      </c>
      <c r="DO147" s="306" t="s">
        <v>4565</v>
      </c>
    </row>
    <row r="148" spans="1:119">
      <c r="A148" s="18">
        <v>143</v>
      </c>
      <c r="B148" s="361"/>
      <c r="C148" s="361"/>
      <c r="D148" s="358"/>
      <c r="E148" s="360"/>
      <c r="F148" s="349"/>
      <c r="G148" s="369"/>
      <c r="H148" s="369"/>
      <c r="I148" s="369"/>
      <c r="J148" s="286" t="s">
        <v>4399</v>
      </c>
      <c r="K148" s="301" t="s">
        <v>4383</v>
      </c>
      <c r="L148" s="310" t="s">
        <v>5791</v>
      </c>
      <c r="M148" s="301" t="s">
        <v>4507</v>
      </c>
      <c r="N148" s="310" t="s">
        <v>4701</v>
      </c>
      <c r="O148" s="18" t="s">
        <v>4506</v>
      </c>
      <c r="P148" s="310" t="s">
        <v>4470</v>
      </c>
      <c r="Q148" s="310" t="s">
        <v>4420</v>
      </c>
      <c r="R148" s="310" t="s">
        <v>6165</v>
      </c>
      <c r="S148" s="310">
        <v>12</v>
      </c>
      <c r="T148" s="59" t="s">
        <v>4420</v>
      </c>
      <c r="U148" s="59" t="s">
        <v>5791</v>
      </c>
      <c r="V148" s="59" t="s">
        <v>4420</v>
      </c>
      <c r="W148" s="59" t="s">
        <v>5791</v>
      </c>
      <c r="X148" s="310" t="s">
        <v>4420</v>
      </c>
      <c r="Y148" s="310" t="s">
        <v>5791</v>
      </c>
      <c r="Z148" s="310" t="s">
        <v>4558</v>
      </c>
      <c r="AA148" s="18">
        <v>10</v>
      </c>
      <c r="AB148" s="224">
        <v>0</v>
      </c>
      <c r="AC148" s="18">
        <v>0</v>
      </c>
      <c r="AD148" s="301" t="s">
        <v>4342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1" t="s">
        <v>4217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6"/>
        <v>24.300000000000011</v>
      </c>
      <c r="AV148" s="21">
        <v>24.300000000000011</v>
      </c>
      <c r="AW148" s="301" t="s">
        <v>5806</v>
      </c>
      <c r="AX148" s="310" t="s">
        <v>4562</v>
      </c>
      <c r="AY148" s="310">
        <f>200/AZ148/0.25</f>
        <v>40</v>
      </c>
      <c r="AZ148" s="310">
        <v>20</v>
      </c>
      <c r="BA148" s="310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4470</v>
      </c>
      <c r="BH148" s="310" t="s">
        <v>6204</v>
      </c>
      <c r="BI148" s="310" t="s">
        <v>6204</v>
      </c>
      <c r="BJ148" s="310">
        <v>2</v>
      </c>
      <c r="BK148" s="310">
        <v>4</v>
      </c>
      <c r="BL148" s="301">
        <v>120</v>
      </c>
      <c r="BM148" s="310">
        <v>1100</v>
      </c>
      <c r="BN148" s="310" t="s">
        <v>6188</v>
      </c>
      <c r="BO148" s="310">
        <v>0.9</v>
      </c>
      <c r="BP148" s="310">
        <v>105</v>
      </c>
      <c r="BQ148" s="310">
        <v>1137</v>
      </c>
      <c r="BR148" s="310">
        <v>46</v>
      </c>
      <c r="BS148" s="310" t="s">
        <v>4590</v>
      </c>
      <c r="BT148" s="301" t="s">
        <v>5855</v>
      </c>
      <c r="BU148" s="310">
        <v>7</v>
      </c>
      <c r="BV148" s="310">
        <v>1</v>
      </c>
      <c r="BW148" s="310">
        <v>19</v>
      </c>
      <c r="BX148" s="310">
        <v>100</v>
      </c>
      <c r="BY148" s="310">
        <v>90</v>
      </c>
      <c r="BZ148" s="18">
        <v>225</v>
      </c>
      <c r="CA148" s="310" t="s">
        <v>4573</v>
      </c>
      <c r="CB148" s="310" t="s">
        <v>4583</v>
      </c>
      <c r="CC148" s="21">
        <f t="shared" si="35"/>
        <v>156.19999999999999</v>
      </c>
      <c r="CD148" s="21">
        <f>12*PI()*12^2/4</f>
        <v>1357.1680263507906</v>
      </c>
      <c r="CE148" s="310">
        <v>25</v>
      </c>
      <c r="CF148" s="119">
        <v>1.67E-2</v>
      </c>
      <c r="CG148" s="310" t="s">
        <v>5664</v>
      </c>
      <c r="CH148" s="45">
        <v>275</v>
      </c>
      <c r="CI148" s="310">
        <v>290</v>
      </c>
      <c r="CJ148" s="45">
        <v>410</v>
      </c>
      <c r="CK148" s="310">
        <v>496</v>
      </c>
      <c r="CL148" s="68">
        <v>206000</v>
      </c>
      <c r="CM148" s="310" t="s">
        <v>5664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10" t="s">
        <v>5664</v>
      </c>
      <c r="CT148" s="46">
        <v>275</v>
      </c>
      <c r="CU148" s="310">
        <v>308</v>
      </c>
      <c r="CV148" s="46">
        <v>410</v>
      </c>
      <c r="CW148" s="310">
        <v>503</v>
      </c>
      <c r="CX148" s="66">
        <v>200000</v>
      </c>
      <c r="CY148" s="310" t="s">
        <v>6067</v>
      </c>
      <c r="CZ148" s="21">
        <v>40.299999999999997</v>
      </c>
      <c r="DA148" s="21">
        <v>2.8</v>
      </c>
      <c r="DB148" s="66">
        <v>33000</v>
      </c>
      <c r="DC148" s="301">
        <v>486</v>
      </c>
      <c r="DD148" s="310">
        <v>557</v>
      </c>
      <c r="DE148" s="66">
        <v>200000</v>
      </c>
      <c r="DF148" s="295">
        <v>280</v>
      </c>
      <c r="DG148" s="310">
        <v>8.8000000000000007</v>
      </c>
      <c r="DH148" s="310">
        <v>640</v>
      </c>
      <c r="DI148" s="32">
        <v>730</v>
      </c>
      <c r="DJ148" s="310">
        <v>800</v>
      </c>
      <c r="DK148" s="32">
        <v>940</v>
      </c>
      <c r="DL148" s="60">
        <v>200000</v>
      </c>
      <c r="DM148" s="40" t="s">
        <v>6065</v>
      </c>
      <c r="DN148" s="310" t="s">
        <v>4435</v>
      </c>
      <c r="DO148" s="306" t="s">
        <v>4565</v>
      </c>
    </row>
    <row r="149" spans="1:119">
      <c r="A149" s="18">
        <v>144</v>
      </c>
      <c r="B149" s="361"/>
      <c r="C149" s="361"/>
      <c r="D149" s="358"/>
      <c r="E149" s="360"/>
      <c r="F149" s="349"/>
      <c r="G149" s="369"/>
      <c r="H149" s="369"/>
      <c r="I149" s="369"/>
      <c r="J149" s="286" t="s">
        <v>4400</v>
      </c>
      <c r="K149" s="301" t="s">
        <v>6320</v>
      </c>
      <c r="L149" s="310" t="s">
        <v>5791</v>
      </c>
      <c r="M149" s="301" t="s">
        <v>4507</v>
      </c>
      <c r="N149" s="310" t="s">
        <v>4701</v>
      </c>
      <c r="O149" s="18" t="s">
        <v>4505</v>
      </c>
      <c r="P149" s="310" t="s">
        <v>4470</v>
      </c>
      <c r="Q149" s="310" t="s">
        <v>4420</v>
      </c>
      <c r="R149" s="310" t="s">
        <v>4420</v>
      </c>
      <c r="S149" s="310" t="s">
        <v>5791</v>
      </c>
      <c r="T149" s="59" t="s">
        <v>4420</v>
      </c>
      <c r="U149" s="59" t="s">
        <v>5791</v>
      </c>
      <c r="V149" s="59" t="s">
        <v>4420</v>
      </c>
      <c r="W149" s="59" t="s">
        <v>5791</v>
      </c>
      <c r="X149" s="310" t="s">
        <v>4420</v>
      </c>
      <c r="Y149" s="310" t="s">
        <v>5791</v>
      </c>
      <c r="Z149" s="310" t="s">
        <v>4558</v>
      </c>
      <c r="AA149" s="18">
        <v>10</v>
      </c>
      <c r="AB149" s="224">
        <v>0</v>
      </c>
      <c r="AC149" s="18">
        <v>0</v>
      </c>
      <c r="AD149" s="301" t="s">
        <v>6321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1" t="s">
        <v>4217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6"/>
        <v>24.300000000000011</v>
      </c>
      <c r="AV149" s="21">
        <f t="shared" ref="AV149:AV155" si="37">(AT149-AK149)/2</f>
        <v>24.300000000000011</v>
      </c>
      <c r="AW149" s="301" t="s">
        <v>5806</v>
      </c>
      <c r="AX149" s="310" t="s">
        <v>4562</v>
      </c>
      <c r="AY149" s="310">
        <f>200/AZ149/0.25</f>
        <v>40</v>
      </c>
      <c r="AZ149" s="310">
        <v>20</v>
      </c>
      <c r="BA149" s="310">
        <f t="shared" ref="BA149:BA169" si="38">IF(AZ149=24,353,IF(AZ149=22,303,IF(AZ149=20,245,IF(AZ149=16,157,0))))</f>
        <v>245</v>
      </c>
      <c r="BB149" s="21">
        <v>74</v>
      </c>
      <c r="BC149" s="21">
        <f t="shared" ref="BC149:BC155" si="39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6318</v>
      </c>
      <c r="BH149" s="310" t="s">
        <v>6204</v>
      </c>
      <c r="BI149" s="310" t="s">
        <v>6204</v>
      </c>
      <c r="BJ149" s="310">
        <v>2</v>
      </c>
      <c r="BK149" s="310">
        <v>4</v>
      </c>
      <c r="BL149" s="301">
        <v>120</v>
      </c>
      <c r="BM149" s="310">
        <v>1100</v>
      </c>
      <c r="BN149" s="310" t="s">
        <v>6188</v>
      </c>
      <c r="BO149" s="310">
        <v>0.9</v>
      </c>
      <c r="BP149" s="310">
        <v>105</v>
      </c>
      <c r="BQ149" s="310">
        <v>1137</v>
      </c>
      <c r="BR149" s="310">
        <v>46</v>
      </c>
      <c r="BS149" s="310" t="s">
        <v>4590</v>
      </c>
      <c r="BT149" s="301" t="s">
        <v>5855</v>
      </c>
      <c r="BU149" s="310">
        <v>7</v>
      </c>
      <c r="BV149" s="310">
        <v>1</v>
      </c>
      <c r="BW149" s="310">
        <v>19</v>
      </c>
      <c r="BX149" s="310">
        <v>100</v>
      </c>
      <c r="BY149" s="310">
        <v>90</v>
      </c>
      <c r="BZ149" s="18">
        <v>225</v>
      </c>
      <c r="CA149" s="310" t="s">
        <v>4573</v>
      </c>
      <c r="CB149" s="310" t="s">
        <v>4582</v>
      </c>
      <c r="CC149" s="21">
        <f t="shared" si="35"/>
        <v>156.19999999999999</v>
      </c>
      <c r="CD149" s="21">
        <f>8*PI()*12^2/4</f>
        <v>904.77868423386042</v>
      </c>
      <c r="CE149" s="310">
        <v>25</v>
      </c>
      <c r="CF149" s="119">
        <v>1.11E-2</v>
      </c>
      <c r="CG149" s="310" t="s">
        <v>5664</v>
      </c>
      <c r="CH149" s="45">
        <v>275</v>
      </c>
      <c r="CI149" s="310">
        <v>290</v>
      </c>
      <c r="CJ149" s="45">
        <v>410</v>
      </c>
      <c r="CK149" s="310">
        <v>496</v>
      </c>
      <c r="CL149" s="68">
        <v>206000</v>
      </c>
      <c r="CM149" s="310" t="s">
        <v>5664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10" t="s">
        <v>5664</v>
      </c>
      <c r="CT149" s="46">
        <v>275</v>
      </c>
      <c r="CU149" s="310">
        <v>308</v>
      </c>
      <c r="CV149" s="46">
        <v>410</v>
      </c>
      <c r="CW149" s="310">
        <v>503</v>
      </c>
      <c r="CX149" s="60">
        <v>200000</v>
      </c>
      <c r="CY149" s="301" t="s">
        <v>6067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5">
        <v>280</v>
      </c>
      <c r="DG149" s="310">
        <v>8.8000000000000007</v>
      </c>
      <c r="DH149" s="310">
        <v>640</v>
      </c>
      <c r="DI149" s="32">
        <v>730</v>
      </c>
      <c r="DJ149" s="310">
        <v>800</v>
      </c>
      <c r="DK149" s="32">
        <v>940</v>
      </c>
      <c r="DL149" s="60">
        <v>200000</v>
      </c>
      <c r="DM149" s="40" t="s">
        <v>6078</v>
      </c>
      <c r="DN149" s="310" t="s">
        <v>4435</v>
      </c>
      <c r="DO149" s="306" t="s">
        <v>4565</v>
      </c>
    </row>
    <row r="150" spans="1:119">
      <c r="A150" s="18">
        <v>145</v>
      </c>
      <c r="B150" s="361"/>
      <c r="C150" s="361"/>
      <c r="D150" s="358"/>
      <c r="E150" s="360"/>
      <c r="F150" s="349"/>
      <c r="G150" s="369"/>
      <c r="H150" s="369"/>
      <c r="I150" s="369"/>
      <c r="J150" s="286" t="s">
        <v>4401</v>
      </c>
      <c r="K150" s="301" t="s">
        <v>6320</v>
      </c>
      <c r="L150" s="310" t="s">
        <v>5791</v>
      </c>
      <c r="M150" s="301" t="s">
        <v>4507</v>
      </c>
      <c r="N150" s="310" t="s">
        <v>4701</v>
      </c>
      <c r="O150" s="18" t="s">
        <v>4505</v>
      </c>
      <c r="P150" s="310" t="s">
        <v>4470</v>
      </c>
      <c r="Q150" s="310" t="s">
        <v>4420</v>
      </c>
      <c r="R150" s="310" t="s">
        <v>4420</v>
      </c>
      <c r="S150" s="310" t="s">
        <v>5791</v>
      </c>
      <c r="T150" s="59" t="s">
        <v>4420</v>
      </c>
      <c r="U150" s="59" t="s">
        <v>5791</v>
      </c>
      <c r="V150" s="59" t="s">
        <v>4420</v>
      </c>
      <c r="W150" s="59" t="s">
        <v>5791</v>
      </c>
      <c r="X150" s="310" t="s">
        <v>4420</v>
      </c>
      <c r="Y150" s="310" t="s">
        <v>5791</v>
      </c>
      <c r="Z150" s="310" t="s">
        <v>4558</v>
      </c>
      <c r="AA150" s="18">
        <v>10</v>
      </c>
      <c r="AB150" s="224">
        <v>0</v>
      </c>
      <c r="AC150" s="18">
        <v>0</v>
      </c>
      <c r="AD150" s="301" t="s">
        <v>6321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1" t="s">
        <v>4217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6"/>
        <v>24.300000000000011</v>
      </c>
      <c r="AV150" s="21">
        <f t="shared" si="37"/>
        <v>24.300000000000011</v>
      </c>
      <c r="AW150" s="301" t="s">
        <v>5806</v>
      </c>
      <c r="AX150" s="310" t="s">
        <v>4562</v>
      </c>
      <c r="AY150" s="310">
        <f t="shared" ref="AY150:AY155" si="40">200/AZ150/0.25</f>
        <v>40</v>
      </c>
      <c r="AZ150" s="310">
        <v>20</v>
      </c>
      <c r="BA150" s="310">
        <f t="shared" si="38"/>
        <v>245</v>
      </c>
      <c r="BB150" s="21">
        <v>74</v>
      </c>
      <c r="BC150" s="21">
        <f t="shared" si="39"/>
        <v>74</v>
      </c>
      <c r="BD150" s="21">
        <v>0</v>
      </c>
      <c r="BE150" s="21">
        <v>86</v>
      </c>
      <c r="BF150" s="21">
        <f t="shared" ref="BF150:BF155" si="41">AT150-BB150-BC150-BD150</f>
        <v>204</v>
      </c>
      <c r="BG150" s="15" t="s">
        <v>6318</v>
      </c>
      <c r="BH150" s="310" t="s">
        <v>6204</v>
      </c>
      <c r="BI150" s="310" t="s">
        <v>6204</v>
      </c>
      <c r="BJ150" s="310">
        <v>2</v>
      </c>
      <c r="BK150" s="310">
        <v>4</v>
      </c>
      <c r="BL150" s="301">
        <v>120</v>
      </c>
      <c r="BM150" s="310">
        <v>1100</v>
      </c>
      <c r="BN150" s="310" t="s">
        <v>6188</v>
      </c>
      <c r="BO150" s="310">
        <v>0.9</v>
      </c>
      <c r="BP150" s="310">
        <v>105</v>
      </c>
      <c r="BQ150" s="310">
        <v>1137</v>
      </c>
      <c r="BR150" s="310">
        <v>46</v>
      </c>
      <c r="BS150" s="310" t="s">
        <v>4590</v>
      </c>
      <c r="BT150" s="301" t="s">
        <v>5855</v>
      </c>
      <c r="BU150" s="310">
        <v>7</v>
      </c>
      <c r="BV150" s="310">
        <v>1</v>
      </c>
      <c r="BW150" s="310">
        <v>19</v>
      </c>
      <c r="BX150" s="310">
        <v>100</v>
      </c>
      <c r="BY150" s="310">
        <v>90</v>
      </c>
      <c r="BZ150" s="18">
        <v>225</v>
      </c>
      <c r="CA150" s="310" t="s">
        <v>4573</v>
      </c>
      <c r="CB150" s="310" t="s">
        <v>4572</v>
      </c>
      <c r="CC150" s="21">
        <f>142*BM150/1000</f>
        <v>156.19999999999999</v>
      </c>
      <c r="CD150" s="21">
        <v>0</v>
      </c>
      <c r="CE150" s="310">
        <v>25</v>
      </c>
      <c r="CF150" s="119">
        <v>0</v>
      </c>
      <c r="CG150" s="310" t="s">
        <v>5664</v>
      </c>
      <c r="CH150" s="45">
        <v>275</v>
      </c>
      <c r="CI150" s="310">
        <v>290</v>
      </c>
      <c r="CJ150" s="45">
        <v>410</v>
      </c>
      <c r="CK150" s="310">
        <v>496</v>
      </c>
      <c r="CL150" s="68">
        <v>206000</v>
      </c>
      <c r="CM150" s="310" t="s">
        <v>5664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10" t="s">
        <v>5664</v>
      </c>
      <c r="CT150" s="46">
        <v>275</v>
      </c>
      <c r="CU150" s="310">
        <v>308</v>
      </c>
      <c r="CV150" s="46">
        <v>410</v>
      </c>
      <c r="CW150" s="310">
        <v>503</v>
      </c>
      <c r="CX150" s="60">
        <v>200000</v>
      </c>
      <c r="CY150" s="301" t="s">
        <v>6067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5">
        <v>280</v>
      </c>
      <c r="DG150" s="310">
        <v>8.8000000000000007</v>
      </c>
      <c r="DH150" s="310">
        <v>640</v>
      </c>
      <c r="DI150" s="32">
        <v>730</v>
      </c>
      <c r="DJ150" s="310">
        <v>800</v>
      </c>
      <c r="DK150" s="32">
        <v>940</v>
      </c>
      <c r="DL150" s="60">
        <v>200000</v>
      </c>
      <c r="DM150" s="40" t="s">
        <v>6079</v>
      </c>
      <c r="DN150" s="310" t="s">
        <v>4435</v>
      </c>
      <c r="DO150" s="306" t="s">
        <v>4565</v>
      </c>
    </row>
    <row r="151" spans="1:119">
      <c r="A151" s="18">
        <v>146</v>
      </c>
      <c r="B151" s="361"/>
      <c r="C151" s="361"/>
      <c r="D151" s="358"/>
      <c r="E151" s="360"/>
      <c r="F151" s="349"/>
      <c r="G151" s="369"/>
      <c r="H151" s="369"/>
      <c r="I151" s="369"/>
      <c r="J151" s="286" t="s">
        <v>6072</v>
      </c>
      <c r="K151" s="301" t="s">
        <v>6320</v>
      </c>
      <c r="L151" s="310" t="s">
        <v>5791</v>
      </c>
      <c r="M151" s="301" t="s">
        <v>4507</v>
      </c>
      <c r="N151" s="310" t="s">
        <v>4701</v>
      </c>
      <c r="O151" s="18" t="s">
        <v>4506</v>
      </c>
      <c r="P151" s="310" t="s">
        <v>4470</v>
      </c>
      <c r="Q151" s="310" t="s">
        <v>4420</v>
      </c>
      <c r="R151" s="310" t="s">
        <v>6165</v>
      </c>
      <c r="S151" s="310">
        <v>12</v>
      </c>
      <c r="T151" s="59" t="s">
        <v>4420</v>
      </c>
      <c r="U151" s="59" t="s">
        <v>5791</v>
      </c>
      <c r="V151" s="59" t="s">
        <v>4420</v>
      </c>
      <c r="W151" s="59" t="s">
        <v>5791</v>
      </c>
      <c r="X151" s="310" t="s">
        <v>4420</v>
      </c>
      <c r="Y151" s="310" t="s">
        <v>5791</v>
      </c>
      <c r="Z151" s="310" t="s">
        <v>4558</v>
      </c>
      <c r="AA151" s="18">
        <v>10</v>
      </c>
      <c r="AB151" s="224">
        <v>0</v>
      </c>
      <c r="AC151" s="18">
        <v>0</v>
      </c>
      <c r="AD151" s="301" t="s">
        <v>6321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1" t="s">
        <v>4217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6"/>
        <v>24.300000000000011</v>
      </c>
      <c r="AV151" s="21">
        <f>(AT151-AK151)/2</f>
        <v>24.300000000000011</v>
      </c>
      <c r="AW151" s="301" t="s">
        <v>5806</v>
      </c>
      <c r="AX151" s="310" t="s">
        <v>4562</v>
      </c>
      <c r="AY151" s="310">
        <f>200/AZ151/0.25</f>
        <v>40</v>
      </c>
      <c r="AZ151" s="310">
        <v>20</v>
      </c>
      <c r="BA151" s="310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6318</v>
      </c>
      <c r="BH151" s="310" t="s">
        <v>6204</v>
      </c>
      <c r="BI151" s="310" t="s">
        <v>6204</v>
      </c>
      <c r="BJ151" s="310">
        <v>2</v>
      </c>
      <c r="BK151" s="310">
        <v>4</v>
      </c>
      <c r="BL151" s="301">
        <v>120</v>
      </c>
      <c r="BM151" s="310">
        <v>1100</v>
      </c>
      <c r="BN151" s="310" t="s">
        <v>6188</v>
      </c>
      <c r="BO151" s="310">
        <v>0.9</v>
      </c>
      <c r="BP151" s="310">
        <v>105</v>
      </c>
      <c r="BQ151" s="310">
        <v>1137</v>
      </c>
      <c r="BR151" s="310">
        <v>46</v>
      </c>
      <c r="BS151" s="310" t="s">
        <v>4590</v>
      </c>
      <c r="BT151" s="301" t="s">
        <v>5855</v>
      </c>
      <c r="BU151" s="310">
        <v>7</v>
      </c>
      <c r="BV151" s="310">
        <v>1</v>
      </c>
      <c r="BW151" s="310">
        <v>19</v>
      </c>
      <c r="BX151" s="310">
        <v>100</v>
      </c>
      <c r="BY151" s="310">
        <v>90</v>
      </c>
      <c r="BZ151" s="18">
        <v>225</v>
      </c>
      <c r="CA151" s="310" t="s">
        <v>6161</v>
      </c>
      <c r="CB151" s="310" t="s">
        <v>4583</v>
      </c>
      <c r="CC151" s="21">
        <f>142*BM151/1000+((BM151/225)+1)*PI()*8^2/4</f>
        <v>452.20784113823828</v>
      </c>
      <c r="CD151" s="21">
        <f>12*PI()*12^2/4</f>
        <v>1357.1680263507906</v>
      </c>
      <c r="CE151" s="310">
        <v>25</v>
      </c>
      <c r="CF151" s="119">
        <v>1.67E-2</v>
      </c>
      <c r="CG151" s="310" t="s">
        <v>5664</v>
      </c>
      <c r="CH151" s="45">
        <v>275</v>
      </c>
      <c r="CI151" s="310">
        <v>290</v>
      </c>
      <c r="CJ151" s="45">
        <v>410</v>
      </c>
      <c r="CK151" s="310">
        <v>496</v>
      </c>
      <c r="CL151" s="68">
        <v>206000</v>
      </c>
      <c r="CM151" s="310" t="s">
        <v>5664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10" t="s">
        <v>5664</v>
      </c>
      <c r="CT151" s="46">
        <v>275</v>
      </c>
      <c r="CU151" s="310">
        <v>308</v>
      </c>
      <c r="CV151" s="46">
        <v>410</v>
      </c>
      <c r="CW151" s="310">
        <v>503</v>
      </c>
      <c r="CX151" s="60">
        <v>200000</v>
      </c>
      <c r="CY151" s="301" t="s">
        <v>6067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5">
        <v>280</v>
      </c>
      <c r="DG151" s="310">
        <v>8.8000000000000007</v>
      </c>
      <c r="DH151" s="310">
        <v>640</v>
      </c>
      <c r="DI151" s="32">
        <v>730</v>
      </c>
      <c r="DJ151" s="310">
        <v>800</v>
      </c>
      <c r="DK151" s="32">
        <v>940</v>
      </c>
      <c r="DL151" s="60">
        <v>200000</v>
      </c>
      <c r="DM151" s="40" t="s">
        <v>6074</v>
      </c>
      <c r="DN151" s="310" t="s">
        <v>4435</v>
      </c>
      <c r="DO151" s="306" t="s">
        <v>4565</v>
      </c>
    </row>
    <row r="152" spans="1:119">
      <c r="A152" s="18">
        <v>147</v>
      </c>
      <c r="B152" s="361"/>
      <c r="C152" s="361"/>
      <c r="D152" s="358"/>
      <c r="E152" s="360"/>
      <c r="F152" s="349"/>
      <c r="G152" s="369"/>
      <c r="H152" s="369"/>
      <c r="I152" s="369"/>
      <c r="J152" s="286" t="s">
        <v>4403</v>
      </c>
      <c r="K152" s="301" t="s">
        <v>6320</v>
      </c>
      <c r="L152" s="310" t="s">
        <v>5791</v>
      </c>
      <c r="M152" s="301" t="s">
        <v>4507</v>
      </c>
      <c r="N152" s="310" t="s">
        <v>4701</v>
      </c>
      <c r="O152" s="18" t="s">
        <v>4505</v>
      </c>
      <c r="P152" s="310" t="s">
        <v>4470</v>
      </c>
      <c r="Q152" s="310" t="s">
        <v>4420</v>
      </c>
      <c r="R152" s="310" t="s">
        <v>4420</v>
      </c>
      <c r="S152" s="310" t="s">
        <v>5791</v>
      </c>
      <c r="T152" s="59" t="s">
        <v>4420</v>
      </c>
      <c r="U152" s="59" t="s">
        <v>5791</v>
      </c>
      <c r="V152" s="59" t="s">
        <v>4420</v>
      </c>
      <c r="W152" s="59" t="s">
        <v>5791</v>
      </c>
      <c r="X152" s="310" t="s">
        <v>4420</v>
      </c>
      <c r="Y152" s="310" t="s">
        <v>5791</v>
      </c>
      <c r="Z152" s="310" t="s">
        <v>4558</v>
      </c>
      <c r="AA152" s="18">
        <v>10</v>
      </c>
      <c r="AB152" s="224">
        <v>0</v>
      </c>
      <c r="AC152" s="18">
        <v>0</v>
      </c>
      <c r="AD152" s="301" t="s">
        <v>6321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1" t="s">
        <v>4217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6"/>
        <v>24.300000000000011</v>
      </c>
      <c r="AV152" s="21">
        <f t="shared" si="37"/>
        <v>24.300000000000011</v>
      </c>
      <c r="AW152" s="301" t="s">
        <v>5806</v>
      </c>
      <c r="AX152" s="310" t="s">
        <v>4562</v>
      </c>
      <c r="AY152" s="310">
        <f t="shared" si="40"/>
        <v>40</v>
      </c>
      <c r="AZ152" s="310">
        <v>20</v>
      </c>
      <c r="BA152" s="310">
        <f t="shared" si="38"/>
        <v>245</v>
      </c>
      <c r="BB152" s="21">
        <v>74</v>
      </c>
      <c r="BC152" s="21">
        <f t="shared" si="39"/>
        <v>74</v>
      </c>
      <c r="BD152" s="21">
        <v>0</v>
      </c>
      <c r="BE152" s="21">
        <v>86</v>
      </c>
      <c r="BF152" s="21">
        <f t="shared" si="41"/>
        <v>204</v>
      </c>
      <c r="BG152" s="15" t="s">
        <v>6318</v>
      </c>
      <c r="BH152" s="310" t="s">
        <v>6204</v>
      </c>
      <c r="BI152" s="310" t="s">
        <v>6204</v>
      </c>
      <c r="BJ152" s="310">
        <v>2</v>
      </c>
      <c r="BK152" s="310">
        <v>4</v>
      </c>
      <c r="BL152" s="301">
        <v>120</v>
      </c>
      <c r="BM152" s="310">
        <v>1100</v>
      </c>
      <c r="BN152" s="310" t="s">
        <v>6188</v>
      </c>
      <c r="BO152" s="310">
        <v>0.9</v>
      </c>
      <c r="BP152" s="310">
        <v>105</v>
      </c>
      <c r="BQ152" s="310">
        <v>1137</v>
      </c>
      <c r="BR152" s="310">
        <v>46</v>
      </c>
      <c r="BS152" s="310" t="s">
        <v>4590</v>
      </c>
      <c r="BT152" s="301" t="s">
        <v>5855</v>
      </c>
      <c r="BU152" s="310">
        <v>7</v>
      </c>
      <c r="BV152" s="310">
        <v>1</v>
      </c>
      <c r="BW152" s="310">
        <v>19</v>
      </c>
      <c r="BX152" s="310">
        <v>100</v>
      </c>
      <c r="BY152" s="310">
        <v>90</v>
      </c>
      <c r="BZ152" s="18">
        <v>225</v>
      </c>
      <c r="CA152" s="310" t="s">
        <v>4573</v>
      </c>
      <c r="CB152" s="310" t="s">
        <v>4581</v>
      </c>
      <c r="CC152" s="21">
        <f t="shared" ref="CC152" si="42">142*BM152/1000</f>
        <v>156.19999999999999</v>
      </c>
      <c r="CD152" s="21">
        <f>4*PI()*12^2/4</f>
        <v>452.38934211693021</v>
      </c>
      <c r="CE152" s="310">
        <v>25</v>
      </c>
      <c r="CF152" s="119">
        <v>5.5999999999999999E-3</v>
      </c>
      <c r="CG152" s="310" t="s">
        <v>5664</v>
      </c>
      <c r="CH152" s="45">
        <v>275</v>
      </c>
      <c r="CI152" s="310">
        <v>290</v>
      </c>
      <c r="CJ152" s="45">
        <v>410</v>
      </c>
      <c r="CK152" s="310">
        <v>496</v>
      </c>
      <c r="CL152" s="68">
        <v>206000</v>
      </c>
      <c r="CM152" s="310" t="s">
        <v>5664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10" t="s">
        <v>5664</v>
      </c>
      <c r="CT152" s="46">
        <v>275</v>
      </c>
      <c r="CU152" s="310">
        <v>309</v>
      </c>
      <c r="CV152" s="46">
        <v>410</v>
      </c>
      <c r="CW152" s="310">
        <v>500</v>
      </c>
      <c r="CX152" s="60">
        <v>200000</v>
      </c>
      <c r="CY152" s="301" t="s">
        <v>6067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5">
        <v>280</v>
      </c>
      <c r="DG152" s="310">
        <v>8.8000000000000007</v>
      </c>
      <c r="DH152" s="310">
        <v>640</v>
      </c>
      <c r="DI152" s="32">
        <v>730</v>
      </c>
      <c r="DJ152" s="310">
        <v>800</v>
      </c>
      <c r="DK152" s="32">
        <v>940</v>
      </c>
      <c r="DL152" s="60">
        <v>200000</v>
      </c>
      <c r="DM152" s="40" t="s">
        <v>5854</v>
      </c>
      <c r="DN152" s="310" t="s">
        <v>4435</v>
      </c>
      <c r="DO152" s="306" t="s">
        <v>4565</v>
      </c>
    </row>
    <row r="153" spans="1:119">
      <c r="A153" s="18">
        <v>148</v>
      </c>
      <c r="B153" s="361"/>
      <c r="C153" s="361"/>
      <c r="D153" s="358"/>
      <c r="E153" s="360"/>
      <c r="F153" s="349"/>
      <c r="G153" s="369"/>
      <c r="H153" s="369"/>
      <c r="I153" s="369"/>
      <c r="J153" s="288" t="s">
        <v>6069</v>
      </c>
      <c r="K153" s="301" t="s">
        <v>6320</v>
      </c>
      <c r="L153" s="310" t="s">
        <v>5791</v>
      </c>
      <c r="M153" s="301" t="s">
        <v>4507</v>
      </c>
      <c r="N153" s="310" t="s">
        <v>4701</v>
      </c>
      <c r="O153" s="18" t="s">
        <v>4506</v>
      </c>
      <c r="P153" s="310" t="s">
        <v>4420</v>
      </c>
      <c r="Q153" s="310" t="s">
        <v>4420</v>
      </c>
      <c r="R153" s="310" t="s">
        <v>6165</v>
      </c>
      <c r="S153" s="310">
        <v>12</v>
      </c>
      <c r="T153" s="59" t="s">
        <v>4420</v>
      </c>
      <c r="U153" s="59" t="s">
        <v>5791</v>
      </c>
      <c r="V153" s="59" t="s">
        <v>4420</v>
      </c>
      <c r="W153" s="59" t="s">
        <v>5791</v>
      </c>
      <c r="X153" s="310" t="s">
        <v>4420</v>
      </c>
      <c r="Y153" s="310" t="s">
        <v>5791</v>
      </c>
      <c r="Z153" s="310" t="s">
        <v>4558</v>
      </c>
      <c r="AA153" s="18">
        <v>10</v>
      </c>
      <c r="AB153" s="224">
        <v>0</v>
      </c>
      <c r="AC153" s="18">
        <v>0</v>
      </c>
      <c r="AD153" s="301" t="s">
        <v>6321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1" t="s">
        <v>4217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6"/>
        <v>24.300000000000011</v>
      </c>
      <c r="AV153" s="21">
        <f>(AT153-AK153)/2</f>
        <v>24.300000000000011</v>
      </c>
      <c r="AW153" s="301" t="s">
        <v>5806</v>
      </c>
      <c r="AX153" s="310" t="s">
        <v>4562</v>
      </c>
      <c r="AY153" s="310">
        <f>200/AZ153/0.25</f>
        <v>40</v>
      </c>
      <c r="AZ153" s="310">
        <v>20</v>
      </c>
      <c r="BA153" s="310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6318</v>
      </c>
      <c r="BH153" s="310" t="s">
        <v>6204</v>
      </c>
      <c r="BI153" s="310" t="s">
        <v>6204</v>
      </c>
      <c r="BJ153" s="310">
        <v>2</v>
      </c>
      <c r="BK153" s="310">
        <v>4</v>
      </c>
      <c r="BL153" s="196" t="s">
        <v>5791</v>
      </c>
      <c r="BM153" s="197" t="s">
        <v>5791</v>
      </c>
      <c r="BN153" s="197" t="s">
        <v>5791</v>
      </c>
      <c r="BO153" s="197" t="s">
        <v>5791</v>
      </c>
      <c r="BP153" s="197" t="s">
        <v>5791</v>
      </c>
      <c r="BQ153" s="197" t="s">
        <v>5791</v>
      </c>
      <c r="BR153" s="197" t="s">
        <v>5791</v>
      </c>
      <c r="BS153" s="197" t="s">
        <v>5791</v>
      </c>
      <c r="BT153" s="196" t="s">
        <v>5791</v>
      </c>
      <c r="BU153" s="197" t="s">
        <v>5791</v>
      </c>
      <c r="BV153" s="197" t="s">
        <v>5791</v>
      </c>
      <c r="BW153" s="197" t="s">
        <v>5791</v>
      </c>
      <c r="BX153" s="197" t="s">
        <v>5791</v>
      </c>
      <c r="BY153" s="197" t="s">
        <v>5791</v>
      </c>
      <c r="BZ153" s="212" t="s">
        <v>5791</v>
      </c>
      <c r="CA153" s="196" t="s">
        <v>5791</v>
      </c>
      <c r="CB153" s="197" t="s">
        <v>5791</v>
      </c>
      <c r="CC153" s="197" t="s">
        <v>5791</v>
      </c>
      <c r="CD153" s="197" t="s">
        <v>5791</v>
      </c>
      <c r="CE153" s="197" t="s">
        <v>5791</v>
      </c>
      <c r="CF153" s="212" t="s">
        <v>5791</v>
      </c>
      <c r="CG153" s="310" t="s">
        <v>5664</v>
      </c>
      <c r="CH153" s="45">
        <v>275</v>
      </c>
      <c r="CI153" s="310">
        <v>290</v>
      </c>
      <c r="CJ153" s="45">
        <v>410</v>
      </c>
      <c r="CK153" s="310">
        <v>496</v>
      </c>
      <c r="CL153" s="68">
        <v>206000</v>
      </c>
      <c r="CM153" s="310" t="s">
        <v>5664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10" t="s">
        <v>5664</v>
      </c>
      <c r="CT153" s="46">
        <v>275</v>
      </c>
      <c r="CU153" s="310">
        <v>309</v>
      </c>
      <c r="CV153" s="46">
        <v>410</v>
      </c>
      <c r="CW153" s="310">
        <v>500</v>
      </c>
      <c r="CX153" s="258">
        <v>200000</v>
      </c>
      <c r="CY153" s="201" t="s">
        <v>5791</v>
      </c>
      <c r="CZ153" s="202" t="s">
        <v>5791</v>
      </c>
      <c r="DA153" s="202" t="s">
        <v>5791</v>
      </c>
      <c r="DB153" s="203" t="s">
        <v>5791</v>
      </c>
      <c r="DC153" s="201" t="s">
        <v>5791</v>
      </c>
      <c r="DD153" s="202" t="s">
        <v>5791</v>
      </c>
      <c r="DE153" s="203" t="s">
        <v>5791</v>
      </c>
      <c r="DF153" s="274" t="s">
        <v>5791</v>
      </c>
      <c r="DG153" s="310">
        <v>8.8000000000000007</v>
      </c>
      <c r="DH153" s="310">
        <v>640</v>
      </c>
      <c r="DI153" s="32">
        <v>730</v>
      </c>
      <c r="DJ153" s="310">
        <v>800</v>
      </c>
      <c r="DK153" s="32">
        <v>940</v>
      </c>
      <c r="DL153" s="60">
        <v>200000</v>
      </c>
      <c r="DM153" s="40" t="s">
        <v>4764</v>
      </c>
      <c r="DN153" s="310" t="s">
        <v>4435</v>
      </c>
      <c r="DO153" s="306" t="s">
        <v>4565</v>
      </c>
    </row>
    <row r="154" spans="1:119">
      <c r="A154" s="18">
        <v>149</v>
      </c>
      <c r="B154" s="361"/>
      <c r="C154" s="361"/>
      <c r="D154" s="358"/>
      <c r="E154" s="360"/>
      <c r="F154" s="349"/>
      <c r="G154" s="369"/>
      <c r="H154" s="369"/>
      <c r="I154" s="369"/>
      <c r="J154" s="286" t="s">
        <v>6068</v>
      </c>
      <c r="K154" s="301" t="s">
        <v>6320</v>
      </c>
      <c r="L154" s="310" t="s">
        <v>5791</v>
      </c>
      <c r="M154" s="301" t="s">
        <v>4507</v>
      </c>
      <c r="N154" s="310" t="s">
        <v>4701</v>
      </c>
      <c r="O154" s="18" t="s">
        <v>4506</v>
      </c>
      <c r="P154" s="310" t="s">
        <v>4470</v>
      </c>
      <c r="Q154" s="310" t="s">
        <v>4420</v>
      </c>
      <c r="R154" s="310" t="s">
        <v>6165</v>
      </c>
      <c r="S154" s="310">
        <v>12</v>
      </c>
      <c r="T154" s="59" t="s">
        <v>4420</v>
      </c>
      <c r="U154" s="59" t="s">
        <v>5791</v>
      </c>
      <c r="V154" s="59" t="s">
        <v>4420</v>
      </c>
      <c r="W154" s="59" t="s">
        <v>5791</v>
      </c>
      <c r="X154" s="310" t="s">
        <v>4420</v>
      </c>
      <c r="Y154" s="310" t="s">
        <v>5791</v>
      </c>
      <c r="Z154" s="310" t="s">
        <v>4558</v>
      </c>
      <c r="AA154" s="18">
        <v>10</v>
      </c>
      <c r="AB154" s="224">
        <v>0</v>
      </c>
      <c r="AC154" s="18">
        <v>0</v>
      </c>
      <c r="AD154" s="301" t="s">
        <v>6321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1" t="s">
        <v>4234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6"/>
        <v>25.099999999999994</v>
      </c>
      <c r="AV154" s="21">
        <f>(AT154-AK154)/2</f>
        <v>25.099999999999994</v>
      </c>
      <c r="AW154" s="301" t="s">
        <v>5806</v>
      </c>
      <c r="AX154" s="310" t="s">
        <v>4562</v>
      </c>
      <c r="AY154" s="310">
        <f>200/AZ154/0.25</f>
        <v>40</v>
      </c>
      <c r="AZ154" s="310">
        <v>20</v>
      </c>
      <c r="BA154" s="310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6318</v>
      </c>
      <c r="BH154" s="310" t="s">
        <v>6204</v>
      </c>
      <c r="BI154" s="310" t="s">
        <v>6204</v>
      </c>
      <c r="BJ154" s="310">
        <v>2</v>
      </c>
      <c r="BK154" s="310">
        <v>4</v>
      </c>
      <c r="BL154" s="301">
        <v>120</v>
      </c>
      <c r="BM154" s="310">
        <v>1100</v>
      </c>
      <c r="BN154" s="310" t="s">
        <v>6188</v>
      </c>
      <c r="BO154" s="310">
        <v>0.9</v>
      </c>
      <c r="BP154" s="310">
        <v>105</v>
      </c>
      <c r="BQ154" s="310">
        <v>1137</v>
      </c>
      <c r="BR154" s="310">
        <v>46</v>
      </c>
      <c r="BS154" s="310" t="s">
        <v>4590</v>
      </c>
      <c r="BT154" s="301" t="s">
        <v>5855</v>
      </c>
      <c r="BU154" s="310">
        <v>7</v>
      </c>
      <c r="BV154" s="310">
        <v>1</v>
      </c>
      <c r="BW154" s="310">
        <v>19</v>
      </c>
      <c r="BX154" s="310">
        <v>100</v>
      </c>
      <c r="BY154" s="310">
        <v>90</v>
      </c>
      <c r="BZ154" s="18">
        <v>225</v>
      </c>
      <c r="CA154" s="310" t="s">
        <v>4573</v>
      </c>
      <c r="CB154" s="310" t="s">
        <v>4582</v>
      </c>
      <c r="CC154" s="21">
        <f>142*BM154/1000</f>
        <v>156.19999999999999</v>
      </c>
      <c r="CD154" s="21">
        <f>8*PI()*12^2/4</f>
        <v>904.77868423386042</v>
      </c>
      <c r="CE154" s="310">
        <v>25</v>
      </c>
      <c r="CF154" s="119">
        <v>1.11E-2</v>
      </c>
      <c r="CG154" s="310" t="s">
        <v>5664</v>
      </c>
      <c r="CH154" s="45">
        <v>275</v>
      </c>
      <c r="CI154" s="310">
        <v>290</v>
      </c>
      <c r="CJ154" s="45">
        <v>410</v>
      </c>
      <c r="CK154" s="310">
        <v>496</v>
      </c>
      <c r="CL154" s="68">
        <v>206000</v>
      </c>
      <c r="CM154" s="310" t="s">
        <v>5664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10" t="s">
        <v>5664</v>
      </c>
      <c r="CT154" s="46">
        <v>275</v>
      </c>
      <c r="CU154" s="310">
        <v>309</v>
      </c>
      <c r="CV154" s="46">
        <v>410</v>
      </c>
      <c r="CW154" s="310">
        <v>500</v>
      </c>
      <c r="CX154" s="260">
        <v>200000</v>
      </c>
      <c r="CY154" s="259" t="s">
        <v>6067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5">
        <v>280</v>
      </c>
      <c r="DG154" s="310">
        <v>8.8000000000000007</v>
      </c>
      <c r="DH154" s="310">
        <v>640</v>
      </c>
      <c r="DI154" s="32">
        <v>730</v>
      </c>
      <c r="DJ154" s="310">
        <v>800</v>
      </c>
      <c r="DK154" s="32">
        <v>940</v>
      </c>
      <c r="DL154" s="60">
        <v>200000</v>
      </c>
      <c r="DM154" s="264" t="s">
        <v>6075</v>
      </c>
      <c r="DN154" s="310" t="s">
        <v>4435</v>
      </c>
      <c r="DO154" s="306" t="s">
        <v>4565</v>
      </c>
    </row>
    <row r="155" spans="1:119" ht="16.2" thickBot="1">
      <c r="A155" s="18">
        <v>150</v>
      </c>
      <c r="B155" s="361"/>
      <c r="C155" s="361"/>
      <c r="D155" s="358"/>
      <c r="E155" s="360"/>
      <c r="F155" s="349"/>
      <c r="G155" s="369"/>
      <c r="H155" s="369"/>
      <c r="I155" s="369"/>
      <c r="J155" s="289" t="s">
        <v>4406</v>
      </c>
      <c r="K155" s="301" t="s">
        <v>6320</v>
      </c>
      <c r="L155" s="310" t="s">
        <v>5791</v>
      </c>
      <c r="M155" s="301" t="s">
        <v>4507</v>
      </c>
      <c r="N155" s="310" t="s">
        <v>4701</v>
      </c>
      <c r="O155" s="18" t="s">
        <v>4505</v>
      </c>
      <c r="P155" s="310" t="s">
        <v>4420</v>
      </c>
      <c r="Q155" s="310" t="s">
        <v>4420</v>
      </c>
      <c r="R155" s="310" t="s">
        <v>4420</v>
      </c>
      <c r="S155" s="310" t="s">
        <v>5791</v>
      </c>
      <c r="T155" s="59" t="s">
        <v>4420</v>
      </c>
      <c r="U155" s="59" t="s">
        <v>5791</v>
      </c>
      <c r="V155" s="59" t="s">
        <v>4420</v>
      </c>
      <c r="W155" s="59" t="s">
        <v>5791</v>
      </c>
      <c r="X155" s="310" t="s">
        <v>4420</v>
      </c>
      <c r="Y155" s="310" t="s">
        <v>5791</v>
      </c>
      <c r="Z155" s="310" t="s">
        <v>4558</v>
      </c>
      <c r="AA155" s="18">
        <v>10</v>
      </c>
      <c r="AB155" s="224">
        <v>0</v>
      </c>
      <c r="AC155" s="18">
        <v>0</v>
      </c>
      <c r="AD155" s="301" t="s">
        <v>6321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1" t="s">
        <v>4217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6"/>
        <v>24.300000000000011</v>
      </c>
      <c r="AV155" s="21">
        <f t="shared" si="37"/>
        <v>24.300000000000011</v>
      </c>
      <c r="AW155" s="301" t="s">
        <v>5806</v>
      </c>
      <c r="AX155" s="310" t="s">
        <v>4562</v>
      </c>
      <c r="AY155" s="310">
        <f t="shared" si="40"/>
        <v>40</v>
      </c>
      <c r="AZ155" s="310">
        <v>20</v>
      </c>
      <c r="BA155" s="310">
        <f t="shared" si="38"/>
        <v>245</v>
      </c>
      <c r="BB155" s="21">
        <v>74</v>
      </c>
      <c r="BC155" s="21">
        <f t="shared" si="39"/>
        <v>74</v>
      </c>
      <c r="BD155" s="21">
        <v>0</v>
      </c>
      <c r="BE155" s="21">
        <v>86</v>
      </c>
      <c r="BF155" s="21">
        <f t="shared" si="41"/>
        <v>204</v>
      </c>
      <c r="BG155" s="15" t="s">
        <v>6318</v>
      </c>
      <c r="BH155" s="310" t="s">
        <v>6204</v>
      </c>
      <c r="BI155" s="310" t="s">
        <v>6204</v>
      </c>
      <c r="BJ155" s="310">
        <v>2</v>
      </c>
      <c r="BK155" s="310">
        <v>4</v>
      </c>
      <c r="BL155" s="191" t="s">
        <v>5791</v>
      </c>
      <c r="BM155" s="192" t="s">
        <v>5791</v>
      </c>
      <c r="BN155" s="192" t="s">
        <v>5791</v>
      </c>
      <c r="BO155" s="192" t="s">
        <v>5791</v>
      </c>
      <c r="BP155" s="192" t="s">
        <v>5791</v>
      </c>
      <c r="BQ155" s="192" t="s">
        <v>5791</v>
      </c>
      <c r="BR155" s="192" t="s">
        <v>5791</v>
      </c>
      <c r="BS155" s="192" t="s">
        <v>5791</v>
      </c>
      <c r="BT155" s="191" t="s">
        <v>5791</v>
      </c>
      <c r="BU155" s="192" t="s">
        <v>5791</v>
      </c>
      <c r="BV155" s="192" t="s">
        <v>5791</v>
      </c>
      <c r="BW155" s="192" t="s">
        <v>5791</v>
      </c>
      <c r="BX155" s="192" t="s">
        <v>5791</v>
      </c>
      <c r="BY155" s="192" t="s">
        <v>5791</v>
      </c>
      <c r="BZ155" s="214" t="s">
        <v>5791</v>
      </c>
      <c r="CA155" s="191" t="s">
        <v>5791</v>
      </c>
      <c r="CB155" s="192" t="s">
        <v>5791</v>
      </c>
      <c r="CC155" s="192" t="s">
        <v>5791</v>
      </c>
      <c r="CD155" s="192" t="s">
        <v>5791</v>
      </c>
      <c r="CE155" s="192" t="s">
        <v>5791</v>
      </c>
      <c r="CF155" s="214" t="s">
        <v>5791</v>
      </c>
      <c r="CG155" s="310" t="s">
        <v>5664</v>
      </c>
      <c r="CH155" s="45">
        <v>275</v>
      </c>
      <c r="CI155" s="310">
        <v>290</v>
      </c>
      <c r="CJ155" s="45">
        <v>410</v>
      </c>
      <c r="CK155" s="310">
        <v>496</v>
      </c>
      <c r="CL155" s="68">
        <v>206000</v>
      </c>
      <c r="CM155" s="310" t="s">
        <v>5664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10" t="s">
        <v>5664</v>
      </c>
      <c r="CT155" s="46">
        <v>275</v>
      </c>
      <c r="CU155" s="310">
        <v>309</v>
      </c>
      <c r="CV155" s="46">
        <v>410</v>
      </c>
      <c r="CW155" s="310">
        <v>500</v>
      </c>
      <c r="CX155" s="60">
        <v>200000</v>
      </c>
      <c r="CY155" s="204" t="s">
        <v>5791</v>
      </c>
      <c r="CZ155" s="205" t="s">
        <v>5791</v>
      </c>
      <c r="DA155" s="205" t="s">
        <v>5791</v>
      </c>
      <c r="DB155" s="206" t="s">
        <v>5791</v>
      </c>
      <c r="DC155" s="204" t="s">
        <v>5791</v>
      </c>
      <c r="DD155" s="205" t="s">
        <v>5791</v>
      </c>
      <c r="DE155" s="206" t="s">
        <v>5791</v>
      </c>
      <c r="DF155" s="275" t="s">
        <v>5791</v>
      </c>
      <c r="DG155" s="310">
        <v>8.8000000000000007</v>
      </c>
      <c r="DH155" s="310">
        <v>640</v>
      </c>
      <c r="DI155" s="32">
        <v>730</v>
      </c>
      <c r="DJ155" s="310">
        <v>800</v>
      </c>
      <c r="DK155" s="32">
        <v>940</v>
      </c>
      <c r="DL155" s="60">
        <v>200000</v>
      </c>
      <c r="DM155" s="241" t="s">
        <v>5837</v>
      </c>
      <c r="DN155" s="310" t="s">
        <v>4435</v>
      </c>
      <c r="DO155" s="306" t="s">
        <v>4565</v>
      </c>
    </row>
    <row r="156" spans="1:119" ht="15.6" customHeight="1">
      <c r="A156" s="47">
        <v>151</v>
      </c>
      <c r="B156" s="348">
        <v>21</v>
      </c>
      <c r="C156" s="348">
        <v>1994</v>
      </c>
      <c r="D156" s="348" t="s">
        <v>5961</v>
      </c>
      <c r="E156" s="376" t="s">
        <v>5973</v>
      </c>
      <c r="F156" s="348">
        <v>4</v>
      </c>
      <c r="G156" s="376" t="s">
        <v>5960</v>
      </c>
      <c r="H156" s="348" t="s">
        <v>5954</v>
      </c>
      <c r="I156" s="348" t="s">
        <v>6230</v>
      </c>
      <c r="J156" s="290" t="s">
        <v>4638</v>
      </c>
      <c r="K156" s="297" t="s">
        <v>4383</v>
      </c>
      <c r="L156" s="302" t="s">
        <v>5791</v>
      </c>
      <c r="M156" s="297" t="s">
        <v>4508</v>
      </c>
      <c r="N156" s="309" t="s">
        <v>4702</v>
      </c>
      <c r="O156" s="47" t="s">
        <v>4506</v>
      </c>
      <c r="P156" s="297" t="s">
        <v>4420</v>
      </c>
      <c r="Q156" s="302" t="s">
        <v>4420</v>
      </c>
      <c r="R156" s="302" t="s">
        <v>6164</v>
      </c>
      <c r="S156" s="302">
        <v>6</v>
      </c>
      <c r="T156" s="64" t="s">
        <v>4420</v>
      </c>
      <c r="U156" s="64" t="s">
        <v>5791</v>
      </c>
      <c r="V156" s="64" t="s">
        <v>4420</v>
      </c>
      <c r="W156" s="64" t="s">
        <v>5791</v>
      </c>
      <c r="X156" s="302" t="s">
        <v>4420</v>
      </c>
      <c r="Y156" s="302" t="s">
        <v>5791</v>
      </c>
      <c r="Z156" s="309" t="s">
        <v>4558</v>
      </c>
      <c r="AA156" s="17">
        <v>6</v>
      </c>
      <c r="AB156" s="232">
        <v>0</v>
      </c>
      <c r="AC156" s="17">
        <v>0</v>
      </c>
      <c r="AD156" s="302" t="s">
        <v>5059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0" t="s">
        <v>5081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0" t="s">
        <v>5806</v>
      </c>
      <c r="AX156" s="309" t="s">
        <v>5955</v>
      </c>
      <c r="AY156" s="302">
        <v>80</v>
      </c>
      <c r="AZ156" s="302">
        <v>16</v>
      </c>
      <c r="BA156" s="309">
        <f t="shared" si="38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4470</v>
      </c>
      <c r="BH156" s="309" t="s">
        <v>6204</v>
      </c>
      <c r="BI156" s="309" t="s">
        <v>6204</v>
      </c>
      <c r="BJ156" s="309">
        <v>2</v>
      </c>
      <c r="BK156" s="302">
        <v>4</v>
      </c>
      <c r="BL156" s="194" t="s">
        <v>5791</v>
      </c>
      <c r="BM156" s="195" t="s">
        <v>5791</v>
      </c>
      <c r="BN156" s="195" t="s">
        <v>5791</v>
      </c>
      <c r="BO156" s="195" t="s">
        <v>5791</v>
      </c>
      <c r="BP156" s="195" t="s">
        <v>5791</v>
      </c>
      <c r="BQ156" s="195" t="s">
        <v>5791</v>
      </c>
      <c r="BR156" s="195" t="s">
        <v>5791</v>
      </c>
      <c r="BS156" s="195" t="s">
        <v>5791</v>
      </c>
      <c r="BT156" s="194" t="s">
        <v>5791</v>
      </c>
      <c r="BU156" s="195" t="s">
        <v>5791</v>
      </c>
      <c r="BV156" s="195" t="s">
        <v>5791</v>
      </c>
      <c r="BW156" s="195" t="s">
        <v>5791</v>
      </c>
      <c r="BX156" s="195" t="s">
        <v>5791</v>
      </c>
      <c r="BY156" s="195" t="s">
        <v>5791</v>
      </c>
      <c r="BZ156" s="213" t="s">
        <v>5791</v>
      </c>
      <c r="CA156" s="194" t="s">
        <v>5791</v>
      </c>
      <c r="CB156" s="195" t="s">
        <v>5791</v>
      </c>
      <c r="CC156" s="195" t="s">
        <v>5791</v>
      </c>
      <c r="CD156" s="195" t="s">
        <v>5791</v>
      </c>
      <c r="CE156" s="195" t="s">
        <v>5791</v>
      </c>
      <c r="CF156" s="213" t="s">
        <v>5791</v>
      </c>
      <c r="CG156" s="297" t="s">
        <v>5956</v>
      </c>
      <c r="CH156" s="302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2" t="s">
        <v>5956</v>
      </c>
      <c r="CN156" s="302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2" t="s">
        <v>5956</v>
      </c>
      <c r="CT156" s="302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5791</v>
      </c>
      <c r="CZ156" s="199" t="s">
        <v>5791</v>
      </c>
      <c r="DA156" s="199" t="s">
        <v>5791</v>
      </c>
      <c r="DB156" s="200" t="s">
        <v>5791</v>
      </c>
      <c r="DC156" s="198" t="s">
        <v>5791</v>
      </c>
      <c r="DD156" s="199" t="s">
        <v>5791</v>
      </c>
      <c r="DE156" s="200" t="s">
        <v>5791</v>
      </c>
      <c r="DF156" s="273" t="s">
        <v>5791</v>
      </c>
      <c r="DG156" s="302" t="s">
        <v>5957</v>
      </c>
      <c r="DH156" s="302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5958</v>
      </c>
      <c r="DN156" s="297" t="s">
        <v>4435</v>
      </c>
      <c r="DO156" s="305" t="s">
        <v>4565</v>
      </c>
    </row>
    <row r="157" spans="1:119">
      <c r="A157" s="18">
        <v>152</v>
      </c>
      <c r="B157" s="349"/>
      <c r="C157" s="349"/>
      <c r="D157" s="349"/>
      <c r="E157" s="377"/>
      <c r="F157" s="349"/>
      <c r="G157" s="377"/>
      <c r="H157" s="349"/>
      <c r="I157" s="349"/>
      <c r="J157" s="288" t="s">
        <v>4639</v>
      </c>
      <c r="K157" s="301" t="s">
        <v>4383</v>
      </c>
      <c r="L157" s="310" t="s">
        <v>5791</v>
      </c>
      <c r="M157" s="301" t="s">
        <v>4508</v>
      </c>
      <c r="N157" s="310" t="s">
        <v>4702</v>
      </c>
      <c r="O157" s="18" t="s">
        <v>4506</v>
      </c>
      <c r="P157" s="301" t="s">
        <v>4420</v>
      </c>
      <c r="Q157" s="310" t="s">
        <v>4420</v>
      </c>
      <c r="R157" s="303" t="s">
        <v>6164</v>
      </c>
      <c r="S157" s="310">
        <v>6</v>
      </c>
      <c r="T157" s="59" t="s">
        <v>4420</v>
      </c>
      <c r="U157" s="59" t="s">
        <v>5791</v>
      </c>
      <c r="V157" s="59" t="s">
        <v>4420</v>
      </c>
      <c r="W157" s="59" t="s">
        <v>5791</v>
      </c>
      <c r="X157" s="310" t="s">
        <v>4420</v>
      </c>
      <c r="Y157" s="310" t="s">
        <v>5791</v>
      </c>
      <c r="Z157" s="310" t="s">
        <v>4558</v>
      </c>
      <c r="AA157" s="18">
        <v>6</v>
      </c>
      <c r="AB157" s="223">
        <v>0</v>
      </c>
      <c r="AC157" s="18">
        <v>0</v>
      </c>
      <c r="AD157" s="303" t="s">
        <v>5059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1" t="s">
        <v>5081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5806</v>
      </c>
      <c r="AX157" s="310" t="s">
        <v>5959</v>
      </c>
      <c r="AY157" s="303">
        <v>130</v>
      </c>
      <c r="AZ157" s="303">
        <v>20</v>
      </c>
      <c r="BA157" s="310">
        <f t="shared" si="38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3">AT157-BB157-BC157-BD157</f>
        <v>67.399999999999991</v>
      </c>
      <c r="BG157" s="233" t="s">
        <v>4470</v>
      </c>
      <c r="BH157" s="310" t="s">
        <v>6204</v>
      </c>
      <c r="BI157" s="310" t="s">
        <v>6204</v>
      </c>
      <c r="BJ157" s="310">
        <v>2</v>
      </c>
      <c r="BK157" s="303">
        <v>4</v>
      </c>
      <c r="BL157" s="196" t="s">
        <v>5791</v>
      </c>
      <c r="BM157" s="197" t="s">
        <v>5791</v>
      </c>
      <c r="BN157" s="197" t="s">
        <v>5791</v>
      </c>
      <c r="BO157" s="197" t="s">
        <v>5791</v>
      </c>
      <c r="BP157" s="197" t="s">
        <v>5791</v>
      </c>
      <c r="BQ157" s="197" t="s">
        <v>5791</v>
      </c>
      <c r="BR157" s="197" t="s">
        <v>5791</v>
      </c>
      <c r="BS157" s="197" t="s">
        <v>5791</v>
      </c>
      <c r="BT157" s="196" t="s">
        <v>5791</v>
      </c>
      <c r="BU157" s="197" t="s">
        <v>5791</v>
      </c>
      <c r="BV157" s="197" t="s">
        <v>5791</v>
      </c>
      <c r="BW157" s="197" t="s">
        <v>5791</v>
      </c>
      <c r="BX157" s="197" t="s">
        <v>5791</v>
      </c>
      <c r="BY157" s="197" t="s">
        <v>5791</v>
      </c>
      <c r="BZ157" s="212" t="s">
        <v>5791</v>
      </c>
      <c r="CA157" s="196" t="s">
        <v>5791</v>
      </c>
      <c r="CB157" s="197" t="s">
        <v>5791</v>
      </c>
      <c r="CC157" s="197" t="s">
        <v>5791</v>
      </c>
      <c r="CD157" s="197" t="s">
        <v>5791</v>
      </c>
      <c r="CE157" s="197" t="s">
        <v>5791</v>
      </c>
      <c r="CF157" s="212" t="s">
        <v>5791</v>
      </c>
      <c r="CG157" s="298" t="s">
        <v>5956</v>
      </c>
      <c r="CH157" s="303">
        <v>250</v>
      </c>
      <c r="CI157" s="45">
        <v>299</v>
      </c>
      <c r="CJ157" s="45">
        <v>400</v>
      </c>
      <c r="CK157" s="33">
        <f t="shared" ref="CK157:CK159" si="44">CJ157*1.1</f>
        <v>440.00000000000006</v>
      </c>
      <c r="CL157" s="66">
        <v>200000</v>
      </c>
      <c r="CM157" s="303" t="s">
        <v>5956</v>
      </c>
      <c r="CN157" s="303">
        <v>250</v>
      </c>
      <c r="CO157" s="45">
        <v>299</v>
      </c>
      <c r="CP157" s="45">
        <v>400</v>
      </c>
      <c r="CQ157" s="33">
        <f t="shared" ref="CQ157:CQ159" si="45">CP157*1.1</f>
        <v>440.00000000000006</v>
      </c>
      <c r="CR157" s="66">
        <v>200000</v>
      </c>
      <c r="CS157" s="303" t="s">
        <v>5956</v>
      </c>
      <c r="CT157" s="303">
        <v>250</v>
      </c>
      <c r="CU157" s="45">
        <v>299</v>
      </c>
      <c r="CV157" s="45">
        <v>400</v>
      </c>
      <c r="CW157" s="33">
        <f t="shared" ref="CW157:CW159" si="46">CV157*1.1</f>
        <v>440.00000000000006</v>
      </c>
      <c r="CX157" s="66">
        <v>200000</v>
      </c>
      <c r="CY157" s="201" t="s">
        <v>5791</v>
      </c>
      <c r="CZ157" s="202" t="s">
        <v>5791</v>
      </c>
      <c r="DA157" s="202" t="s">
        <v>5791</v>
      </c>
      <c r="DB157" s="203" t="s">
        <v>5791</v>
      </c>
      <c r="DC157" s="201" t="s">
        <v>5791</v>
      </c>
      <c r="DD157" s="202" t="s">
        <v>5791</v>
      </c>
      <c r="DE157" s="203" t="s">
        <v>5791</v>
      </c>
      <c r="DF157" s="274" t="s">
        <v>5791</v>
      </c>
      <c r="DG157" s="303" t="s">
        <v>5957</v>
      </c>
      <c r="DH157" s="303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5958</v>
      </c>
      <c r="DN157" s="298" t="s">
        <v>4435</v>
      </c>
      <c r="DO157" s="306" t="s">
        <v>4565</v>
      </c>
    </row>
    <row r="158" spans="1:119">
      <c r="A158" s="18">
        <v>153</v>
      </c>
      <c r="B158" s="349"/>
      <c r="C158" s="349"/>
      <c r="D158" s="349"/>
      <c r="E158" s="377"/>
      <c r="F158" s="349"/>
      <c r="G158" s="377"/>
      <c r="H158" s="349"/>
      <c r="I158" s="349"/>
      <c r="J158" s="288" t="s">
        <v>4640</v>
      </c>
      <c r="K158" s="301" t="s">
        <v>4383</v>
      </c>
      <c r="L158" s="310" t="s">
        <v>5791</v>
      </c>
      <c r="M158" s="301" t="s">
        <v>4508</v>
      </c>
      <c r="N158" s="310" t="s">
        <v>4702</v>
      </c>
      <c r="O158" s="18" t="s">
        <v>4506</v>
      </c>
      <c r="P158" s="301" t="s">
        <v>4420</v>
      </c>
      <c r="Q158" s="310" t="s">
        <v>4420</v>
      </c>
      <c r="R158" s="303" t="s">
        <v>6164</v>
      </c>
      <c r="S158" s="310">
        <v>6</v>
      </c>
      <c r="T158" s="59" t="s">
        <v>4420</v>
      </c>
      <c r="U158" s="59" t="s">
        <v>5791</v>
      </c>
      <c r="V158" s="59" t="s">
        <v>4420</v>
      </c>
      <c r="W158" s="59" t="s">
        <v>5791</v>
      </c>
      <c r="X158" s="310" t="s">
        <v>4420</v>
      </c>
      <c r="Y158" s="310" t="s">
        <v>5791</v>
      </c>
      <c r="Z158" s="310" t="s">
        <v>4558</v>
      </c>
      <c r="AA158" s="18">
        <v>6</v>
      </c>
      <c r="AB158" s="223">
        <v>0</v>
      </c>
      <c r="AC158" s="18">
        <v>0</v>
      </c>
      <c r="AD158" s="303" t="s">
        <v>5059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1" t="s">
        <v>5081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5806</v>
      </c>
      <c r="AX158" s="310" t="s">
        <v>5955</v>
      </c>
      <c r="AY158" s="303">
        <v>80</v>
      </c>
      <c r="AZ158" s="303">
        <v>16</v>
      </c>
      <c r="BA158" s="310">
        <f t="shared" si="38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3"/>
        <v>67.399999999999991</v>
      </c>
      <c r="BG158" s="233" t="s">
        <v>4470</v>
      </c>
      <c r="BH158" s="310" t="s">
        <v>6204</v>
      </c>
      <c r="BI158" s="310" t="s">
        <v>6204</v>
      </c>
      <c r="BJ158" s="310">
        <v>2</v>
      </c>
      <c r="BK158" s="303">
        <v>4</v>
      </c>
      <c r="BL158" s="196" t="s">
        <v>5791</v>
      </c>
      <c r="BM158" s="197" t="s">
        <v>5791</v>
      </c>
      <c r="BN158" s="197" t="s">
        <v>5791</v>
      </c>
      <c r="BO158" s="197" t="s">
        <v>5791</v>
      </c>
      <c r="BP158" s="197" t="s">
        <v>5791</v>
      </c>
      <c r="BQ158" s="197" t="s">
        <v>5791</v>
      </c>
      <c r="BR158" s="197" t="s">
        <v>5791</v>
      </c>
      <c r="BS158" s="197" t="s">
        <v>5791</v>
      </c>
      <c r="BT158" s="196" t="s">
        <v>5791</v>
      </c>
      <c r="BU158" s="197" t="s">
        <v>5791</v>
      </c>
      <c r="BV158" s="197" t="s">
        <v>5791</v>
      </c>
      <c r="BW158" s="197" t="s">
        <v>5791</v>
      </c>
      <c r="BX158" s="197" t="s">
        <v>5791</v>
      </c>
      <c r="BY158" s="197" t="s">
        <v>5791</v>
      </c>
      <c r="BZ158" s="212" t="s">
        <v>5791</v>
      </c>
      <c r="CA158" s="196" t="s">
        <v>5791</v>
      </c>
      <c r="CB158" s="197" t="s">
        <v>5791</v>
      </c>
      <c r="CC158" s="197" t="s">
        <v>5791</v>
      </c>
      <c r="CD158" s="197" t="s">
        <v>5791</v>
      </c>
      <c r="CE158" s="197" t="s">
        <v>5791</v>
      </c>
      <c r="CF158" s="212" t="s">
        <v>5791</v>
      </c>
      <c r="CG158" s="298" t="s">
        <v>5956</v>
      </c>
      <c r="CH158" s="303">
        <v>250</v>
      </c>
      <c r="CI158" s="45">
        <v>299</v>
      </c>
      <c r="CJ158" s="45">
        <v>400</v>
      </c>
      <c r="CK158" s="33">
        <f t="shared" si="44"/>
        <v>440.00000000000006</v>
      </c>
      <c r="CL158" s="66">
        <v>200000</v>
      </c>
      <c r="CM158" s="303" t="s">
        <v>5956</v>
      </c>
      <c r="CN158" s="303">
        <v>250</v>
      </c>
      <c r="CO158" s="45">
        <v>299</v>
      </c>
      <c r="CP158" s="45">
        <v>400</v>
      </c>
      <c r="CQ158" s="33">
        <f t="shared" si="45"/>
        <v>440.00000000000006</v>
      </c>
      <c r="CR158" s="66">
        <v>200000</v>
      </c>
      <c r="CS158" s="303" t="s">
        <v>5956</v>
      </c>
      <c r="CT158" s="303">
        <v>250</v>
      </c>
      <c r="CU158" s="45">
        <v>299</v>
      </c>
      <c r="CV158" s="45">
        <v>400</v>
      </c>
      <c r="CW158" s="33">
        <f t="shared" si="46"/>
        <v>440.00000000000006</v>
      </c>
      <c r="CX158" s="66">
        <v>200000</v>
      </c>
      <c r="CY158" s="201" t="s">
        <v>5791</v>
      </c>
      <c r="CZ158" s="202" t="s">
        <v>5791</v>
      </c>
      <c r="DA158" s="202" t="s">
        <v>5791</v>
      </c>
      <c r="DB158" s="203" t="s">
        <v>5791</v>
      </c>
      <c r="DC158" s="201" t="s">
        <v>5791</v>
      </c>
      <c r="DD158" s="202" t="s">
        <v>5791</v>
      </c>
      <c r="DE158" s="203" t="s">
        <v>5791</v>
      </c>
      <c r="DF158" s="274" t="s">
        <v>5791</v>
      </c>
      <c r="DG158" s="303" t="s">
        <v>5957</v>
      </c>
      <c r="DH158" s="303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4764</v>
      </c>
      <c r="DN158" s="298" t="s">
        <v>4435</v>
      </c>
      <c r="DO158" s="306" t="s">
        <v>4565</v>
      </c>
    </row>
    <row r="159" spans="1:119" ht="16.2" thickBot="1">
      <c r="A159" s="14">
        <v>154</v>
      </c>
      <c r="B159" s="350"/>
      <c r="C159" s="350"/>
      <c r="D159" s="350"/>
      <c r="E159" s="378"/>
      <c r="F159" s="350"/>
      <c r="G159" s="378"/>
      <c r="H159" s="350"/>
      <c r="I159" s="350"/>
      <c r="J159" s="289" t="s">
        <v>5953</v>
      </c>
      <c r="K159" s="308" t="s">
        <v>4383</v>
      </c>
      <c r="L159" s="311" t="s">
        <v>5791</v>
      </c>
      <c r="M159" s="308" t="s">
        <v>4508</v>
      </c>
      <c r="N159" s="311" t="s">
        <v>4702</v>
      </c>
      <c r="O159" s="14" t="s">
        <v>4506</v>
      </c>
      <c r="P159" s="308" t="s">
        <v>4420</v>
      </c>
      <c r="Q159" s="311" t="s">
        <v>4420</v>
      </c>
      <c r="R159" s="304" t="s">
        <v>6164</v>
      </c>
      <c r="S159" s="311">
        <v>6</v>
      </c>
      <c r="T159" s="86" t="s">
        <v>4420</v>
      </c>
      <c r="U159" s="86" t="s">
        <v>5791</v>
      </c>
      <c r="V159" s="86" t="s">
        <v>4420</v>
      </c>
      <c r="W159" s="86" t="s">
        <v>5791</v>
      </c>
      <c r="X159" s="311" t="s">
        <v>4420</v>
      </c>
      <c r="Y159" s="311" t="s">
        <v>5791</v>
      </c>
      <c r="Z159" s="311" t="s">
        <v>4558</v>
      </c>
      <c r="AA159" s="14">
        <v>6</v>
      </c>
      <c r="AB159" s="228">
        <v>0</v>
      </c>
      <c r="AC159" s="14">
        <v>0</v>
      </c>
      <c r="AD159" s="304" t="s">
        <v>5059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8" t="s">
        <v>5081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8" t="s">
        <v>5806</v>
      </c>
      <c r="AX159" s="311" t="s">
        <v>5959</v>
      </c>
      <c r="AY159" s="311">
        <v>130</v>
      </c>
      <c r="AZ159" s="304">
        <v>20</v>
      </c>
      <c r="BA159" s="311">
        <f t="shared" si="38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3"/>
        <v>67.399999999999991</v>
      </c>
      <c r="BG159" s="235" t="s">
        <v>4470</v>
      </c>
      <c r="BH159" s="311" t="s">
        <v>6204</v>
      </c>
      <c r="BI159" s="311" t="s">
        <v>6204</v>
      </c>
      <c r="BJ159" s="311">
        <v>2</v>
      </c>
      <c r="BK159" s="304">
        <v>4</v>
      </c>
      <c r="BL159" s="191" t="s">
        <v>5791</v>
      </c>
      <c r="BM159" s="192" t="s">
        <v>5791</v>
      </c>
      <c r="BN159" s="192" t="s">
        <v>5791</v>
      </c>
      <c r="BO159" s="192" t="s">
        <v>5791</v>
      </c>
      <c r="BP159" s="192" t="s">
        <v>5791</v>
      </c>
      <c r="BQ159" s="192" t="s">
        <v>5791</v>
      </c>
      <c r="BR159" s="192" t="s">
        <v>5791</v>
      </c>
      <c r="BS159" s="192" t="s">
        <v>5791</v>
      </c>
      <c r="BT159" s="191" t="s">
        <v>5791</v>
      </c>
      <c r="BU159" s="192" t="s">
        <v>5791</v>
      </c>
      <c r="BV159" s="192" t="s">
        <v>5791</v>
      </c>
      <c r="BW159" s="192" t="s">
        <v>5791</v>
      </c>
      <c r="BX159" s="192" t="s">
        <v>5791</v>
      </c>
      <c r="BY159" s="192" t="s">
        <v>5791</v>
      </c>
      <c r="BZ159" s="214" t="s">
        <v>5791</v>
      </c>
      <c r="CA159" s="191" t="s">
        <v>5791</v>
      </c>
      <c r="CB159" s="192" t="s">
        <v>5791</v>
      </c>
      <c r="CC159" s="192" t="s">
        <v>5791</v>
      </c>
      <c r="CD159" s="192" t="s">
        <v>5791</v>
      </c>
      <c r="CE159" s="192" t="s">
        <v>5791</v>
      </c>
      <c r="CF159" s="214" t="s">
        <v>5791</v>
      </c>
      <c r="CG159" s="299" t="s">
        <v>5956</v>
      </c>
      <c r="CH159" s="304">
        <v>250</v>
      </c>
      <c r="CI159" s="55">
        <v>299</v>
      </c>
      <c r="CJ159" s="55">
        <v>400</v>
      </c>
      <c r="CK159" s="35">
        <f t="shared" si="44"/>
        <v>440.00000000000006</v>
      </c>
      <c r="CL159" s="69">
        <v>200000</v>
      </c>
      <c r="CM159" s="304" t="s">
        <v>5956</v>
      </c>
      <c r="CN159" s="304">
        <v>250</v>
      </c>
      <c r="CO159" s="55">
        <v>299</v>
      </c>
      <c r="CP159" s="55">
        <v>400</v>
      </c>
      <c r="CQ159" s="35">
        <f t="shared" si="45"/>
        <v>440.00000000000006</v>
      </c>
      <c r="CR159" s="69">
        <v>200000</v>
      </c>
      <c r="CS159" s="304" t="s">
        <v>5956</v>
      </c>
      <c r="CT159" s="304">
        <v>250</v>
      </c>
      <c r="CU159" s="55">
        <v>299</v>
      </c>
      <c r="CV159" s="55">
        <v>400</v>
      </c>
      <c r="CW159" s="35">
        <f t="shared" si="46"/>
        <v>440.00000000000006</v>
      </c>
      <c r="CX159" s="69">
        <v>200000</v>
      </c>
      <c r="CY159" s="204" t="s">
        <v>5791</v>
      </c>
      <c r="CZ159" s="205" t="s">
        <v>5791</v>
      </c>
      <c r="DA159" s="205" t="s">
        <v>5791</v>
      </c>
      <c r="DB159" s="206" t="s">
        <v>5791</v>
      </c>
      <c r="DC159" s="204" t="s">
        <v>5791</v>
      </c>
      <c r="DD159" s="205" t="s">
        <v>5791</v>
      </c>
      <c r="DE159" s="206" t="s">
        <v>5791</v>
      </c>
      <c r="DF159" s="275" t="s">
        <v>5791</v>
      </c>
      <c r="DG159" s="304" t="s">
        <v>5957</v>
      </c>
      <c r="DH159" s="304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4764</v>
      </c>
      <c r="DN159" s="299" t="s">
        <v>4435</v>
      </c>
      <c r="DO159" s="307" t="s">
        <v>4565</v>
      </c>
    </row>
    <row r="160" spans="1:119" ht="15.6" customHeight="1">
      <c r="A160" s="17">
        <v>155</v>
      </c>
      <c r="B160" s="348">
        <v>22</v>
      </c>
      <c r="C160" s="348">
        <v>1994</v>
      </c>
      <c r="D160" s="359" t="s">
        <v>4672</v>
      </c>
      <c r="E160" s="359" t="s">
        <v>4858</v>
      </c>
      <c r="F160" s="348">
        <v>6</v>
      </c>
      <c r="G160" s="348" t="s">
        <v>5912</v>
      </c>
      <c r="H160" s="348" t="s">
        <v>5901</v>
      </c>
      <c r="I160" s="348" t="s">
        <v>4576</v>
      </c>
      <c r="J160" s="284" t="s">
        <v>4606</v>
      </c>
      <c r="K160" s="300" t="s">
        <v>4383</v>
      </c>
      <c r="L160" s="309" t="s">
        <v>5791</v>
      </c>
      <c r="M160" s="300" t="s">
        <v>4507</v>
      </c>
      <c r="N160" s="309" t="s">
        <v>4701</v>
      </c>
      <c r="O160" s="17" t="s">
        <v>4506</v>
      </c>
      <c r="P160" s="309" t="s">
        <v>4470</v>
      </c>
      <c r="Q160" s="309" t="s">
        <v>4420</v>
      </c>
      <c r="R160" s="309" t="s">
        <v>4420</v>
      </c>
      <c r="S160" s="309" t="s">
        <v>5791</v>
      </c>
      <c r="T160" s="64" t="s">
        <v>4420</v>
      </c>
      <c r="U160" s="64" t="s">
        <v>5791</v>
      </c>
      <c r="V160" s="64" t="s">
        <v>4420</v>
      </c>
      <c r="W160" s="64" t="s">
        <v>5791</v>
      </c>
      <c r="X160" s="309" t="s">
        <v>4420</v>
      </c>
      <c r="Y160" s="309" t="s">
        <v>5791</v>
      </c>
      <c r="Z160" s="30" t="s">
        <v>4558</v>
      </c>
      <c r="AA160" s="87">
        <v>10</v>
      </c>
      <c r="AB160" s="224">
        <v>0</v>
      </c>
      <c r="AC160" s="140">
        <v>0</v>
      </c>
      <c r="AD160" s="300" t="s">
        <v>6321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0" t="s">
        <v>4217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9">
        <v>0</v>
      </c>
      <c r="AW160" s="300" t="s">
        <v>5806</v>
      </c>
      <c r="AX160" s="309" t="s">
        <v>4612</v>
      </c>
      <c r="AY160" s="309">
        <f t="shared" ref="AY160:AY165" si="47">150/AZ160/0.25</f>
        <v>30</v>
      </c>
      <c r="AZ160" s="309">
        <v>20</v>
      </c>
      <c r="BA160" s="309">
        <f t="shared" si="38"/>
        <v>245</v>
      </c>
      <c r="BB160" s="16">
        <v>69.2</v>
      </c>
      <c r="BC160" s="16">
        <f t="shared" si="34"/>
        <v>69.2</v>
      </c>
      <c r="BD160" s="16">
        <v>55</v>
      </c>
      <c r="BE160" s="16">
        <v>90</v>
      </c>
      <c r="BF160" s="16">
        <f t="shared" ref="BF160:BF165" si="48">AT160-BB160-BC160-2*BD160</f>
        <v>36.600000000000023</v>
      </c>
      <c r="BG160" s="22" t="s">
        <v>4420</v>
      </c>
      <c r="BH160" s="309" t="s">
        <v>4465</v>
      </c>
      <c r="BI160" s="309" t="s">
        <v>4465</v>
      </c>
      <c r="BJ160" s="309">
        <v>4</v>
      </c>
      <c r="BK160" s="309">
        <v>8</v>
      </c>
      <c r="BL160" s="300">
        <v>120</v>
      </c>
      <c r="BM160" s="309">
        <v>1200</v>
      </c>
      <c r="BN160" s="309" t="s">
        <v>6188</v>
      </c>
      <c r="BO160" s="309">
        <v>0.9</v>
      </c>
      <c r="BP160" s="309">
        <v>105</v>
      </c>
      <c r="BQ160" s="309">
        <v>1137</v>
      </c>
      <c r="BR160" s="309">
        <v>46</v>
      </c>
      <c r="BS160" s="309" t="s">
        <v>4590</v>
      </c>
      <c r="BT160" s="300" t="s">
        <v>5855</v>
      </c>
      <c r="BU160" s="309">
        <v>6</v>
      </c>
      <c r="BV160" s="309">
        <v>1</v>
      </c>
      <c r="BW160" s="309">
        <v>19</v>
      </c>
      <c r="BX160" s="309">
        <v>100</v>
      </c>
      <c r="BY160" s="30">
        <v>40</v>
      </c>
      <c r="BZ160" s="17">
        <f t="shared" ref="BZ160:BZ165" si="49">AO160/6</f>
        <v>250</v>
      </c>
      <c r="CA160" s="309" t="s">
        <v>4573</v>
      </c>
      <c r="CB160" s="309" t="s">
        <v>4572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9" t="s">
        <v>5664</v>
      </c>
      <c r="CH160" s="309">
        <v>275</v>
      </c>
      <c r="CI160" s="16">
        <f t="shared" ref="CI160:CI165" si="50">(317.4+289.8)/2</f>
        <v>303.60000000000002</v>
      </c>
      <c r="CJ160" s="309">
        <v>410</v>
      </c>
      <c r="CK160" s="16">
        <f t="shared" ref="CK160:CK165" si="51">(485.9+458.8)/2</f>
        <v>472.35</v>
      </c>
      <c r="CL160" s="65">
        <v>200000</v>
      </c>
      <c r="CM160" s="300" t="s">
        <v>5664</v>
      </c>
      <c r="CN160" s="309">
        <v>275</v>
      </c>
      <c r="CO160" s="16">
        <f t="shared" ref="CO160:CO165" si="52">(377.4+314)/2</f>
        <v>345.7</v>
      </c>
      <c r="CP160" s="71">
        <v>410</v>
      </c>
      <c r="CQ160" s="16">
        <f t="shared" ref="CQ160:CQ165" si="53">(514.8+496.6)/2</f>
        <v>505.7</v>
      </c>
      <c r="CR160" s="65">
        <v>200000</v>
      </c>
      <c r="CS160" s="30" t="s">
        <v>5664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300" t="s">
        <v>5795</v>
      </c>
      <c r="CZ160" s="16">
        <v>37.299999999999997</v>
      </c>
      <c r="DA160" s="16">
        <v>2.74</v>
      </c>
      <c r="DB160" s="65">
        <v>34785</v>
      </c>
      <c r="DC160" s="300">
        <v>657</v>
      </c>
      <c r="DD160" s="309">
        <v>705</v>
      </c>
      <c r="DE160" s="65">
        <v>200000</v>
      </c>
      <c r="DF160" s="294">
        <v>280</v>
      </c>
      <c r="DG160" s="309">
        <v>8.8000000000000007</v>
      </c>
      <c r="DH160" s="309">
        <v>640</v>
      </c>
      <c r="DI160" s="30">
        <v>730</v>
      </c>
      <c r="DJ160" s="309">
        <v>800</v>
      </c>
      <c r="DK160" s="32">
        <v>940</v>
      </c>
      <c r="DL160" s="75">
        <v>200000</v>
      </c>
      <c r="DM160" s="40" t="s">
        <v>4777</v>
      </c>
      <c r="DN160" s="32" t="s">
        <v>4435</v>
      </c>
      <c r="DO160" s="306" t="s">
        <v>6214</v>
      </c>
    </row>
    <row r="161" spans="1:119">
      <c r="A161" s="18">
        <v>156</v>
      </c>
      <c r="B161" s="349"/>
      <c r="C161" s="349"/>
      <c r="D161" s="360"/>
      <c r="E161" s="360"/>
      <c r="F161" s="349"/>
      <c r="G161" s="349"/>
      <c r="H161" s="349"/>
      <c r="I161" s="349"/>
      <c r="J161" s="286" t="s">
        <v>4607</v>
      </c>
      <c r="K161" s="301" t="s">
        <v>4383</v>
      </c>
      <c r="L161" s="310" t="s">
        <v>5791</v>
      </c>
      <c r="M161" s="301" t="s">
        <v>4507</v>
      </c>
      <c r="N161" s="310" t="s">
        <v>4701</v>
      </c>
      <c r="O161" s="18" t="s">
        <v>4506</v>
      </c>
      <c r="P161" s="310" t="s">
        <v>4470</v>
      </c>
      <c r="Q161" s="310" t="s">
        <v>4420</v>
      </c>
      <c r="R161" s="310" t="s">
        <v>4420</v>
      </c>
      <c r="S161" s="310" t="s">
        <v>5791</v>
      </c>
      <c r="T161" s="59" t="s">
        <v>4420</v>
      </c>
      <c r="U161" s="59" t="s">
        <v>5791</v>
      </c>
      <c r="V161" s="59" t="s">
        <v>4420</v>
      </c>
      <c r="W161" s="59" t="s">
        <v>5791</v>
      </c>
      <c r="X161" s="310" t="s">
        <v>4420</v>
      </c>
      <c r="Y161" s="310" t="s">
        <v>5791</v>
      </c>
      <c r="Z161" s="32" t="s">
        <v>4558</v>
      </c>
      <c r="AA161" s="72">
        <v>10</v>
      </c>
      <c r="AB161" s="224">
        <v>0</v>
      </c>
      <c r="AC161" s="140">
        <v>0</v>
      </c>
      <c r="AD161" s="301" t="s">
        <v>4342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1" t="s">
        <v>4217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1" t="s">
        <v>5806</v>
      </c>
      <c r="AX161" s="310" t="s">
        <v>4612</v>
      </c>
      <c r="AY161" s="310">
        <f t="shared" si="47"/>
        <v>30</v>
      </c>
      <c r="AZ161" s="310">
        <v>20</v>
      </c>
      <c r="BA161" s="310">
        <f t="shared" si="38"/>
        <v>245</v>
      </c>
      <c r="BB161" s="21">
        <v>69.2</v>
      </c>
      <c r="BC161" s="21">
        <f t="shared" si="34"/>
        <v>69.2</v>
      </c>
      <c r="BD161" s="21">
        <v>55</v>
      </c>
      <c r="BE161" s="21">
        <v>90</v>
      </c>
      <c r="BF161" s="21">
        <f t="shared" si="48"/>
        <v>36.600000000000023</v>
      </c>
      <c r="BG161" s="15" t="s">
        <v>4420</v>
      </c>
      <c r="BH161" s="310" t="s">
        <v>4465</v>
      </c>
      <c r="BI161" s="310" t="s">
        <v>4465</v>
      </c>
      <c r="BJ161" s="310">
        <v>4</v>
      </c>
      <c r="BK161" s="310">
        <v>8</v>
      </c>
      <c r="BL161" s="301">
        <v>120</v>
      </c>
      <c r="BM161" s="310">
        <v>1200</v>
      </c>
      <c r="BN161" s="310" t="s">
        <v>6188</v>
      </c>
      <c r="BO161" s="310">
        <v>0.9</v>
      </c>
      <c r="BP161" s="310">
        <v>105</v>
      </c>
      <c r="BQ161" s="310">
        <v>1137</v>
      </c>
      <c r="BR161" s="310">
        <v>46</v>
      </c>
      <c r="BS161" s="310" t="s">
        <v>4590</v>
      </c>
      <c r="BT161" s="301" t="s">
        <v>5855</v>
      </c>
      <c r="BU161" s="310">
        <v>6</v>
      </c>
      <c r="BV161" s="310">
        <v>1</v>
      </c>
      <c r="BW161" s="310">
        <v>19</v>
      </c>
      <c r="BX161" s="310">
        <v>100</v>
      </c>
      <c r="BY161" s="32">
        <v>40</v>
      </c>
      <c r="BZ161" s="18">
        <f t="shared" si="49"/>
        <v>250</v>
      </c>
      <c r="CA161" s="310" t="s">
        <v>4572</v>
      </c>
      <c r="CB161" s="32" t="s">
        <v>6090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10" t="s">
        <v>5664</v>
      </c>
      <c r="CH161" s="310">
        <v>275</v>
      </c>
      <c r="CI161" s="21">
        <f t="shared" si="50"/>
        <v>303.60000000000002</v>
      </c>
      <c r="CJ161" s="310">
        <v>410</v>
      </c>
      <c r="CK161" s="21">
        <f t="shared" si="51"/>
        <v>472.35</v>
      </c>
      <c r="CL161" s="66">
        <v>200000</v>
      </c>
      <c r="CM161" s="301" t="s">
        <v>5664</v>
      </c>
      <c r="CN161" s="310">
        <v>275</v>
      </c>
      <c r="CO161" s="21">
        <f t="shared" si="52"/>
        <v>345.7</v>
      </c>
      <c r="CP161" s="46">
        <v>410</v>
      </c>
      <c r="CQ161" s="21">
        <f t="shared" si="53"/>
        <v>505.7</v>
      </c>
      <c r="CR161" s="66">
        <v>200000</v>
      </c>
      <c r="CS161" s="32" t="s">
        <v>5664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1" t="s">
        <v>5795</v>
      </c>
      <c r="CZ161" s="21">
        <v>44.7</v>
      </c>
      <c r="DA161" s="21">
        <v>3.53</v>
      </c>
      <c r="DB161" s="66">
        <v>34785</v>
      </c>
      <c r="DC161" s="301">
        <v>657</v>
      </c>
      <c r="DD161" s="310">
        <v>705</v>
      </c>
      <c r="DE161" s="66">
        <v>200000</v>
      </c>
      <c r="DF161" s="295">
        <v>280</v>
      </c>
      <c r="DG161" s="310">
        <v>8.8000000000000007</v>
      </c>
      <c r="DH161" s="310">
        <v>640</v>
      </c>
      <c r="DI161" s="32">
        <v>730</v>
      </c>
      <c r="DJ161" s="310">
        <v>800</v>
      </c>
      <c r="DK161" s="32">
        <v>940</v>
      </c>
      <c r="DL161" s="60">
        <v>200000</v>
      </c>
      <c r="DM161" s="40" t="s">
        <v>4775</v>
      </c>
      <c r="DN161" s="32" t="s">
        <v>4435</v>
      </c>
      <c r="DO161" s="306" t="s">
        <v>6214</v>
      </c>
    </row>
    <row r="162" spans="1:119">
      <c r="A162" s="18">
        <v>157</v>
      </c>
      <c r="B162" s="349"/>
      <c r="C162" s="349"/>
      <c r="D162" s="360"/>
      <c r="E162" s="360"/>
      <c r="F162" s="349"/>
      <c r="G162" s="349"/>
      <c r="H162" s="349"/>
      <c r="I162" s="349"/>
      <c r="J162" s="286" t="s">
        <v>4608</v>
      </c>
      <c r="K162" s="301" t="s">
        <v>4383</v>
      </c>
      <c r="L162" s="310" t="s">
        <v>5791</v>
      </c>
      <c r="M162" s="301" t="s">
        <v>4507</v>
      </c>
      <c r="N162" s="310" t="s">
        <v>4701</v>
      </c>
      <c r="O162" s="18" t="s">
        <v>4506</v>
      </c>
      <c r="P162" s="310" t="s">
        <v>4470</v>
      </c>
      <c r="Q162" s="310" t="s">
        <v>4420</v>
      </c>
      <c r="R162" s="310" t="s">
        <v>6164</v>
      </c>
      <c r="S162" s="310">
        <v>10</v>
      </c>
      <c r="T162" s="59" t="s">
        <v>4420</v>
      </c>
      <c r="U162" s="59" t="s">
        <v>5791</v>
      </c>
      <c r="V162" s="59" t="s">
        <v>4420</v>
      </c>
      <c r="W162" s="59" t="s">
        <v>5791</v>
      </c>
      <c r="X162" s="310" t="s">
        <v>4420</v>
      </c>
      <c r="Y162" s="310" t="s">
        <v>5791</v>
      </c>
      <c r="Z162" s="32" t="s">
        <v>4558</v>
      </c>
      <c r="AA162" s="72">
        <v>10</v>
      </c>
      <c r="AB162" s="224">
        <v>0</v>
      </c>
      <c r="AC162" s="140">
        <v>0</v>
      </c>
      <c r="AD162" s="301" t="s">
        <v>6321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1" t="s">
        <v>4217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1" t="s">
        <v>5806</v>
      </c>
      <c r="AX162" s="310" t="s">
        <v>4612</v>
      </c>
      <c r="AY162" s="310">
        <f t="shared" si="47"/>
        <v>30</v>
      </c>
      <c r="AZ162" s="310">
        <v>20</v>
      </c>
      <c r="BA162" s="310">
        <f t="shared" si="38"/>
        <v>245</v>
      </c>
      <c r="BB162" s="21">
        <v>69.2</v>
      </c>
      <c r="BC162" s="21">
        <f t="shared" si="34"/>
        <v>69.2</v>
      </c>
      <c r="BD162" s="21">
        <v>55</v>
      </c>
      <c r="BE162" s="21">
        <v>90</v>
      </c>
      <c r="BF162" s="21">
        <f t="shared" si="48"/>
        <v>36.600000000000023</v>
      </c>
      <c r="BG162" s="15" t="s">
        <v>4420</v>
      </c>
      <c r="BH162" s="310" t="s">
        <v>4465</v>
      </c>
      <c r="BI162" s="310" t="s">
        <v>4465</v>
      </c>
      <c r="BJ162" s="310">
        <v>4</v>
      </c>
      <c r="BK162" s="310">
        <v>8</v>
      </c>
      <c r="BL162" s="301">
        <v>120</v>
      </c>
      <c r="BM162" s="310">
        <v>1200</v>
      </c>
      <c r="BN162" s="310" t="s">
        <v>6188</v>
      </c>
      <c r="BO162" s="310">
        <v>0.9</v>
      </c>
      <c r="BP162" s="310">
        <v>105</v>
      </c>
      <c r="BQ162" s="310">
        <v>1137</v>
      </c>
      <c r="BR162" s="310">
        <v>46</v>
      </c>
      <c r="BS162" s="310" t="s">
        <v>4590</v>
      </c>
      <c r="BT162" s="301" t="s">
        <v>5855</v>
      </c>
      <c r="BU162" s="310">
        <v>6</v>
      </c>
      <c r="BV162" s="310">
        <v>1</v>
      </c>
      <c r="BW162" s="310">
        <v>19</v>
      </c>
      <c r="BX162" s="310">
        <v>100</v>
      </c>
      <c r="BY162" s="32">
        <v>40</v>
      </c>
      <c r="BZ162" s="18">
        <f t="shared" si="49"/>
        <v>250</v>
      </c>
      <c r="CA162" s="310" t="s">
        <v>4572</v>
      </c>
      <c r="CB162" s="32" t="s">
        <v>6090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10" t="s">
        <v>5664</v>
      </c>
      <c r="CH162" s="310">
        <v>275</v>
      </c>
      <c r="CI162" s="21">
        <f t="shared" si="50"/>
        <v>303.60000000000002</v>
      </c>
      <c r="CJ162" s="310">
        <v>410</v>
      </c>
      <c r="CK162" s="21">
        <f t="shared" si="51"/>
        <v>472.35</v>
      </c>
      <c r="CL162" s="66">
        <v>200000</v>
      </c>
      <c r="CM162" s="301" t="s">
        <v>5664</v>
      </c>
      <c r="CN162" s="310">
        <v>275</v>
      </c>
      <c r="CO162" s="21">
        <f t="shared" si="52"/>
        <v>345.7</v>
      </c>
      <c r="CP162" s="46">
        <v>410</v>
      </c>
      <c r="CQ162" s="21">
        <f t="shared" si="53"/>
        <v>505.7</v>
      </c>
      <c r="CR162" s="66">
        <v>200000</v>
      </c>
      <c r="CS162" s="32" t="s">
        <v>5664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1" t="s">
        <v>5795</v>
      </c>
      <c r="CZ162" s="21">
        <v>41.2</v>
      </c>
      <c r="DA162" s="21">
        <v>3.21</v>
      </c>
      <c r="DB162" s="66">
        <v>34785</v>
      </c>
      <c r="DC162" s="301">
        <v>497</v>
      </c>
      <c r="DD162" s="310">
        <v>870</v>
      </c>
      <c r="DE162" s="66">
        <v>200000</v>
      </c>
      <c r="DF162" s="295">
        <v>280</v>
      </c>
      <c r="DG162" s="310">
        <v>8.8000000000000007</v>
      </c>
      <c r="DH162" s="310">
        <v>640</v>
      </c>
      <c r="DI162" s="32">
        <v>730</v>
      </c>
      <c r="DJ162" s="310">
        <v>800</v>
      </c>
      <c r="DK162" s="32">
        <v>940</v>
      </c>
      <c r="DL162" s="60">
        <v>200000</v>
      </c>
      <c r="DM162" s="40" t="s">
        <v>4776</v>
      </c>
      <c r="DN162" s="32" t="s">
        <v>4435</v>
      </c>
      <c r="DO162" s="306" t="s">
        <v>6214</v>
      </c>
    </row>
    <row r="163" spans="1:119">
      <c r="A163" s="18">
        <v>158</v>
      </c>
      <c r="B163" s="349"/>
      <c r="C163" s="349"/>
      <c r="D163" s="360"/>
      <c r="E163" s="360"/>
      <c r="F163" s="349"/>
      <c r="G163" s="349"/>
      <c r="H163" s="349"/>
      <c r="I163" s="349"/>
      <c r="J163" s="286" t="s">
        <v>4609</v>
      </c>
      <c r="K163" s="301" t="s">
        <v>4383</v>
      </c>
      <c r="L163" s="310" t="s">
        <v>5791</v>
      </c>
      <c r="M163" s="301" t="s">
        <v>4507</v>
      </c>
      <c r="N163" s="310" t="s">
        <v>4701</v>
      </c>
      <c r="O163" s="18" t="s">
        <v>4506</v>
      </c>
      <c r="P163" s="310" t="s">
        <v>4470</v>
      </c>
      <c r="Q163" s="310" t="s">
        <v>4420</v>
      </c>
      <c r="R163" s="310" t="s">
        <v>4420</v>
      </c>
      <c r="S163" s="310" t="s">
        <v>5791</v>
      </c>
      <c r="T163" s="59" t="s">
        <v>4420</v>
      </c>
      <c r="U163" s="59" t="s">
        <v>5791</v>
      </c>
      <c r="V163" s="59" t="s">
        <v>4420</v>
      </c>
      <c r="W163" s="59" t="s">
        <v>5791</v>
      </c>
      <c r="X163" s="310" t="s">
        <v>4420</v>
      </c>
      <c r="Y163" s="310" t="s">
        <v>5791</v>
      </c>
      <c r="Z163" s="32" t="s">
        <v>4558</v>
      </c>
      <c r="AA163" s="72">
        <v>10</v>
      </c>
      <c r="AB163" s="224">
        <v>0</v>
      </c>
      <c r="AC163" s="140">
        <v>0</v>
      </c>
      <c r="AD163" s="301" t="s">
        <v>6321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1" t="s">
        <v>4217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1" t="s">
        <v>5806</v>
      </c>
      <c r="AX163" s="310" t="s">
        <v>4612</v>
      </c>
      <c r="AY163" s="310">
        <f t="shared" si="47"/>
        <v>30</v>
      </c>
      <c r="AZ163" s="310">
        <v>20</v>
      </c>
      <c r="BA163" s="310">
        <f t="shared" si="38"/>
        <v>245</v>
      </c>
      <c r="BB163" s="21">
        <v>69.2</v>
      </c>
      <c r="BC163" s="21">
        <f t="shared" si="34"/>
        <v>69.2</v>
      </c>
      <c r="BD163" s="21">
        <v>55</v>
      </c>
      <c r="BE163" s="21">
        <v>90</v>
      </c>
      <c r="BF163" s="21">
        <f t="shared" si="48"/>
        <v>36.600000000000023</v>
      </c>
      <c r="BG163" s="15" t="s">
        <v>4420</v>
      </c>
      <c r="BH163" s="310" t="s">
        <v>4465</v>
      </c>
      <c r="BI163" s="310" t="s">
        <v>4465</v>
      </c>
      <c r="BJ163" s="310">
        <v>4</v>
      </c>
      <c r="BK163" s="310">
        <v>8</v>
      </c>
      <c r="BL163" s="301">
        <v>120</v>
      </c>
      <c r="BM163" s="310">
        <v>1200</v>
      </c>
      <c r="BN163" s="310" t="s">
        <v>6188</v>
      </c>
      <c r="BO163" s="310">
        <v>0.9</v>
      </c>
      <c r="BP163" s="310">
        <v>105</v>
      </c>
      <c r="BQ163" s="310">
        <v>1137</v>
      </c>
      <c r="BR163" s="310">
        <v>46</v>
      </c>
      <c r="BS163" s="310" t="s">
        <v>4590</v>
      </c>
      <c r="BT163" s="301" t="s">
        <v>5855</v>
      </c>
      <c r="BU163" s="310">
        <v>6</v>
      </c>
      <c r="BV163" s="310">
        <v>1</v>
      </c>
      <c r="BW163" s="310">
        <v>19</v>
      </c>
      <c r="BX163" s="310">
        <v>100</v>
      </c>
      <c r="BY163" s="32">
        <v>40</v>
      </c>
      <c r="BZ163" s="18">
        <f t="shared" si="49"/>
        <v>250</v>
      </c>
      <c r="CA163" s="310" t="s">
        <v>4573</v>
      </c>
      <c r="CB163" s="32" t="s">
        <v>6091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10" t="s">
        <v>5664</v>
      </c>
      <c r="CH163" s="310">
        <v>275</v>
      </c>
      <c r="CI163" s="21">
        <f t="shared" si="50"/>
        <v>303.60000000000002</v>
      </c>
      <c r="CJ163" s="310">
        <v>410</v>
      </c>
      <c r="CK163" s="21">
        <f t="shared" si="51"/>
        <v>472.35</v>
      </c>
      <c r="CL163" s="66">
        <v>200000</v>
      </c>
      <c r="CM163" s="301" t="s">
        <v>5664</v>
      </c>
      <c r="CN163" s="310">
        <v>275</v>
      </c>
      <c r="CO163" s="21">
        <f t="shared" si="52"/>
        <v>345.7</v>
      </c>
      <c r="CP163" s="46">
        <v>410</v>
      </c>
      <c r="CQ163" s="21">
        <f t="shared" si="53"/>
        <v>505.7</v>
      </c>
      <c r="CR163" s="66">
        <v>200000</v>
      </c>
      <c r="CS163" s="32" t="s">
        <v>5664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1" t="s">
        <v>5795</v>
      </c>
      <c r="CZ163" s="21">
        <v>44.3</v>
      </c>
      <c r="DA163" s="21">
        <v>3.56</v>
      </c>
      <c r="DB163" s="66">
        <v>34785</v>
      </c>
      <c r="DC163" s="301">
        <v>504</v>
      </c>
      <c r="DD163" s="310">
        <v>622</v>
      </c>
      <c r="DE163" s="66">
        <v>200000</v>
      </c>
      <c r="DF163" s="295">
        <v>280</v>
      </c>
      <c r="DG163" s="310">
        <v>8.8000000000000007</v>
      </c>
      <c r="DH163" s="310">
        <v>640</v>
      </c>
      <c r="DI163" s="32">
        <v>730</v>
      </c>
      <c r="DJ163" s="310">
        <v>800</v>
      </c>
      <c r="DK163" s="32">
        <v>940</v>
      </c>
      <c r="DL163" s="60">
        <v>200000</v>
      </c>
      <c r="DM163" s="40" t="s">
        <v>4775</v>
      </c>
      <c r="DN163" s="32" t="s">
        <v>4435</v>
      </c>
      <c r="DO163" s="306" t="s">
        <v>6214</v>
      </c>
    </row>
    <row r="164" spans="1:119">
      <c r="A164" s="18">
        <v>159</v>
      </c>
      <c r="B164" s="349"/>
      <c r="C164" s="349"/>
      <c r="D164" s="360"/>
      <c r="E164" s="360"/>
      <c r="F164" s="349"/>
      <c r="G164" s="349"/>
      <c r="H164" s="349"/>
      <c r="I164" s="349"/>
      <c r="J164" s="286" t="s">
        <v>4610</v>
      </c>
      <c r="K164" s="301" t="s">
        <v>4383</v>
      </c>
      <c r="L164" s="310" t="s">
        <v>5791</v>
      </c>
      <c r="M164" s="301" t="s">
        <v>4507</v>
      </c>
      <c r="N164" s="310" t="s">
        <v>4701</v>
      </c>
      <c r="O164" s="18" t="s">
        <v>4506</v>
      </c>
      <c r="P164" s="310" t="s">
        <v>4470</v>
      </c>
      <c r="Q164" s="310" t="s">
        <v>4420</v>
      </c>
      <c r="R164" s="310" t="s">
        <v>4420</v>
      </c>
      <c r="S164" s="310" t="s">
        <v>5791</v>
      </c>
      <c r="T164" s="59" t="s">
        <v>4420</v>
      </c>
      <c r="U164" s="59" t="s">
        <v>5791</v>
      </c>
      <c r="V164" s="59" t="s">
        <v>4420</v>
      </c>
      <c r="W164" s="59" t="s">
        <v>5791</v>
      </c>
      <c r="X164" s="310" t="s">
        <v>4420</v>
      </c>
      <c r="Y164" s="310" t="s">
        <v>5791</v>
      </c>
      <c r="Z164" s="32" t="s">
        <v>4558</v>
      </c>
      <c r="AA164" s="72">
        <v>10</v>
      </c>
      <c r="AB164" s="224">
        <v>0</v>
      </c>
      <c r="AC164" s="140">
        <v>0</v>
      </c>
      <c r="AD164" s="301" t="s">
        <v>6321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1" t="s">
        <v>4217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1" t="s">
        <v>5806</v>
      </c>
      <c r="AX164" s="310" t="s">
        <v>4612</v>
      </c>
      <c r="AY164" s="310">
        <f t="shared" si="47"/>
        <v>30</v>
      </c>
      <c r="AZ164" s="310">
        <v>20</v>
      </c>
      <c r="BA164" s="310">
        <f t="shared" si="38"/>
        <v>245</v>
      </c>
      <c r="BB164" s="21">
        <v>69.2</v>
      </c>
      <c r="BC164" s="21">
        <f t="shared" si="34"/>
        <v>69.2</v>
      </c>
      <c r="BD164" s="21">
        <v>55</v>
      </c>
      <c r="BE164" s="21">
        <v>90</v>
      </c>
      <c r="BF164" s="21">
        <f t="shared" si="48"/>
        <v>36.600000000000023</v>
      </c>
      <c r="BG164" s="15" t="s">
        <v>4420</v>
      </c>
      <c r="BH164" s="310" t="s">
        <v>4465</v>
      </c>
      <c r="BI164" s="310" t="s">
        <v>4465</v>
      </c>
      <c r="BJ164" s="310">
        <v>4</v>
      </c>
      <c r="BK164" s="310">
        <v>8</v>
      </c>
      <c r="BL164" s="301">
        <v>120</v>
      </c>
      <c r="BM164" s="310">
        <v>1200</v>
      </c>
      <c r="BN164" s="310" t="s">
        <v>6188</v>
      </c>
      <c r="BO164" s="310">
        <v>0.9</v>
      </c>
      <c r="BP164" s="310">
        <v>105</v>
      </c>
      <c r="BQ164" s="310">
        <v>1137</v>
      </c>
      <c r="BR164" s="310">
        <v>46</v>
      </c>
      <c r="BS164" s="310" t="s">
        <v>4590</v>
      </c>
      <c r="BT164" s="301" t="s">
        <v>5855</v>
      </c>
      <c r="BU164" s="310">
        <v>6</v>
      </c>
      <c r="BV164" s="310">
        <v>1</v>
      </c>
      <c r="BW164" s="310">
        <v>19</v>
      </c>
      <c r="BX164" s="310">
        <v>100</v>
      </c>
      <c r="BY164" s="32">
        <v>40</v>
      </c>
      <c r="BZ164" s="18">
        <f t="shared" si="49"/>
        <v>250</v>
      </c>
      <c r="CA164" s="310" t="s">
        <v>4573</v>
      </c>
      <c r="CB164" s="32" t="s">
        <v>6090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10" t="s">
        <v>5664</v>
      </c>
      <c r="CH164" s="310">
        <v>275</v>
      </c>
      <c r="CI164" s="21">
        <f t="shared" si="50"/>
        <v>303.60000000000002</v>
      </c>
      <c r="CJ164" s="310">
        <v>410</v>
      </c>
      <c r="CK164" s="21">
        <f t="shared" si="51"/>
        <v>472.35</v>
      </c>
      <c r="CL164" s="66">
        <v>200000</v>
      </c>
      <c r="CM164" s="301" t="s">
        <v>5664</v>
      </c>
      <c r="CN164" s="310">
        <v>275</v>
      </c>
      <c r="CO164" s="21">
        <f t="shared" si="52"/>
        <v>345.7</v>
      </c>
      <c r="CP164" s="46">
        <v>410</v>
      </c>
      <c r="CQ164" s="21">
        <f t="shared" si="53"/>
        <v>505.7</v>
      </c>
      <c r="CR164" s="66">
        <v>200000</v>
      </c>
      <c r="CS164" s="32" t="s">
        <v>5664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1" t="s">
        <v>5795</v>
      </c>
      <c r="CZ164" s="21">
        <v>33.9</v>
      </c>
      <c r="DA164" s="21">
        <v>3.16</v>
      </c>
      <c r="DB164" s="66">
        <v>34785</v>
      </c>
      <c r="DC164" s="301">
        <v>497</v>
      </c>
      <c r="DD164" s="310">
        <v>870</v>
      </c>
      <c r="DE164" s="66">
        <v>200000</v>
      </c>
      <c r="DF164" s="295">
        <v>280</v>
      </c>
      <c r="DG164" s="310">
        <v>8.8000000000000007</v>
      </c>
      <c r="DH164" s="310">
        <v>640</v>
      </c>
      <c r="DI164" s="32">
        <v>730</v>
      </c>
      <c r="DJ164" s="310">
        <v>800</v>
      </c>
      <c r="DK164" s="32">
        <v>940</v>
      </c>
      <c r="DL164" s="60">
        <v>200000</v>
      </c>
      <c r="DM164" s="40" t="s">
        <v>4774</v>
      </c>
      <c r="DN164" s="32" t="s">
        <v>4435</v>
      </c>
      <c r="DO164" s="306" t="s">
        <v>6214</v>
      </c>
    </row>
    <row r="165" spans="1:119" ht="16.2" thickBot="1">
      <c r="A165" s="18">
        <v>160</v>
      </c>
      <c r="B165" s="349"/>
      <c r="C165" s="349"/>
      <c r="D165" s="360"/>
      <c r="E165" s="360"/>
      <c r="F165" s="349"/>
      <c r="G165" s="349"/>
      <c r="H165" s="349"/>
      <c r="I165" s="349"/>
      <c r="J165" s="286" t="s">
        <v>4611</v>
      </c>
      <c r="K165" s="301" t="s">
        <v>4383</v>
      </c>
      <c r="L165" s="310" t="s">
        <v>5791</v>
      </c>
      <c r="M165" s="301" t="s">
        <v>4507</v>
      </c>
      <c r="N165" s="310" t="s">
        <v>4701</v>
      </c>
      <c r="O165" s="18" t="s">
        <v>4506</v>
      </c>
      <c r="P165" s="310" t="s">
        <v>4470</v>
      </c>
      <c r="Q165" s="310" t="s">
        <v>4420</v>
      </c>
      <c r="R165" s="310" t="s">
        <v>4420</v>
      </c>
      <c r="S165" s="310" t="s">
        <v>5791</v>
      </c>
      <c r="T165" s="59" t="s">
        <v>4420</v>
      </c>
      <c r="U165" s="59" t="s">
        <v>5791</v>
      </c>
      <c r="V165" s="59" t="s">
        <v>4420</v>
      </c>
      <c r="W165" s="59" t="s">
        <v>5791</v>
      </c>
      <c r="X165" s="310" t="s">
        <v>4470</v>
      </c>
      <c r="Y165" s="310">
        <v>13</v>
      </c>
      <c r="Z165" s="34" t="s">
        <v>4558</v>
      </c>
      <c r="AA165" s="117">
        <v>10</v>
      </c>
      <c r="AB165" s="224">
        <v>0</v>
      </c>
      <c r="AC165" s="140">
        <v>0</v>
      </c>
      <c r="AD165" s="301" t="s">
        <v>6321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1" t="s">
        <v>4217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1" t="s">
        <v>5806</v>
      </c>
      <c r="AX165" s="310" t="s">
        <v>4612</v>
      </c>
      <c r="AY165" s="310">
        <f t="shared" si="47"/>
        <v>30</v>
      </c>
      <c r="AZ165" s="310">
        <v>20</v>
      </c>
      <c r="BA165" s="310">
        <f t="shared" si="38"/>
        <v>245</v>
      </c>
      <c r="BB165" s="21">
        <v>69.2</v>
      </c>
      <c r="BC165" s="21">
        <f t="shared" si="34"/>
        <v>69.2</v>
      </c>
      <c r="BD165" s="21">
        <v>55</v>
      </c>
      <c r="BE165" s="21">
        <v>90</v>
      </c>
      <c r="BF165" s="21">
        <f t="shared" si="48"/>
        <v>36.600000000000023</v>
      </c>
      <c r="BG165" s="15" t="s">
        <v>4420</v>
      </c>
      <c r="BH165" s="310" t="s">
        <v>4465</v>
      </c>
      <c r="BI165" s="310" t="s">
        <v>4465</v>
      </c>
      <c r="BJ165" s="310">
        <v>4</v>
      </c>
      <c r="BK165" s="310">
        <v>8</v>
      </c>
      <c r="BL165" s="301">
        <v>120</v>
      </c>
      <c r="BM165" s="310">
        <v>1200</v>
      </c>
      <c r="BN165" s="310" t="s">
        <v>6188</v>
      </c>
      <c r="BO165" s="310">
        <v>0.9</v>
      </c>
      <c r="BP165" s="310">
        <v>105</v>
      </c>
      <c r="BQ165" s="310">
        <v>1137</v>
      </c>
      <c r="BR165" s="310">
        <v>46</v>
      </c>
      <c r="BS165" s="310" t="s">
        <v>4590</v>
      </c>
      <c r="BT165" s="301" t="s">
        <v>5855</v>
      </c>
      <c r="BU165" s="310">
        <v>6</v>
      </c>
      <c r="BV165" s="310">
        <v>1</v>
      </c>
      <c r="BW165" s="310">
        <v>19</v>
      </c>
      <c r="BX165" s="310">
        <v>100</v>
      </c>
      <c r="BY165" s="32">
        <v>40</v>
      </c>
      <c r="BZ165" s="18">
        <f t="shared" si="49"/>
        <v>250</v>
      </c>
      <c r="CA165" s="311" t="s">
        <v>4573</v>
      </c>
      <c r="CB165" s="32" t="s">
        <v>6091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10" t="s">
        <v>5664</v>
      </c>
      <c r="CH165" s="310">
        <v>275</v>
      </c>
      <c r="CI165" s="21">
        <f t="shared" si="50"/>
        <v>303.60000000000002</v>
      </c>
      <c r="CJ165" s="310">
        <v>410</v>
      </c>
      <c r="CK165" s="21">
        <f t="shared" si="51"/>
        <v>472.35</v>
      </c>
      <c r="CL165" s="66">
        <v>200000</v>
      </c>
      <c r="CM165" s="301" t="s">
        <v>5664</v>
      </c>
      <c r="CN165" s="310">
        <v>275</v>
      </c>
      <c r="CO165" s="21">
        <f t="shared" si="52"/>
        <v>345.7</v>
      </c>
      <c r="CP165" s="46">
        <v>410</v>
      </c>
      <c r="CQ165" s="21">
        <f t="shared" si="53"/>
        <v>505.7</v>
      </c>
      <c r="CR165" s="66">
        <v>200000</v>
      </c>
      <c r="CS165" s="32" t="s">
        <v>5664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1" t="s">
        <v>5795</v>
      </c>
      <c r="CZ165" s="21">
        <v>33.4</v>
      </c>
      <c r="DA165" s="21">
        <v>2.87</v>
      </c>
      <c r="DB165" s="66">
        <v>34785</v>
      </c>
      <c r="DC165" s="301">
        <v>504</v>
      </c>
      <c r="DD165" s="310">
        <v>622</v>
      </c>
      <c r="DE165" s="66">
        <v>200000</v>
      </c>
      <c r="DF165" s="295">
        <v>280</v>
      </c>
      <c r="DG165" s="310">
        <v>8.8000000000000007</v>
      </c>
      <c r="DH165" s="310">
        <v>640</v>
      </c>
      <c r="DI165" s="32">
        <v>730</v>
      </c>
      <c r="DJ165" s="310">
        <v>800</v>
      </c>
      <c r="DK165" s="32">
        <v>940</v>
      </c>
      <c r="DL165" s="60">
        <v>200000</v>
      </c>
      <c r="DM165" s="40" t="s">
        <v>4781</v>
      </c>
      <c r="DN165" s="32" t="s">
        <v>4435</v>
      </c>
      <c r="DO165" s="306" t="s">
        <v>6214</v>
      </c>
    </row>
    <row r="166" spans="1:119" ht="15.6" customHeight="1">
      <c r="A166" s="297">
        <v>161</v>
      </c>
      <c r="B166" s="351">
        <v>23</v>
      </c>
      <c r="C166" s="351">
        <v>1995</v>
      </c>
      <c r="D166" s="353" t="s">
        <v>6094</v>
      </c>
      <c r="E166" s="355" t="s">
        <v>6100</v>
      </c>
      <c r="F166" s="348">
        <v>4</v>
      </c>
      <c r="G166" s="348" t="s">
        <v>5967</v>
      </c>
      <c r="H166" s="348" t="s">
        <v>5963</v>
      </c>
      <c r="I166" s="348" t="s">
        <v>6231</v>
      </c>
      <c r="J166" s="284" t="s">
        <v>6095</v>
      </c>
      <c r="K166" s="297" t="s">
        <v>4383</v>
      </c>
      <c r="L166" s="309" t="s">
        <v>5791</v>
      </c>
      <c r="M166" s="300" t="s">
        <v>4508</v>
      </c>
      <c r="N166" s="309" t="s">
        <v>4702</v>
      </c>
      <c r="O166" s="17" t="s">
        <v>4506</v>
      </c>
      <c r="P166" s="300" t="s">
        <v>4420</v>
      </c>
      <c r="Q166" s="302" t="s">
        <v>4420</v>
      </c>
      <c r="R166" s="302" t="s">
        <v>4420</v>
      </c>
      <c r="S166" s="309" t="s">
        <v>5791</v>
      </c>
      <c r="T166" s="64" t="s">
        <v>4420</v>
      </c>
      <c r="U166" s="64" t="s">
        <v>5791</v>
      </c>
      <c r="V166" s="64" t="s">
        <v>4420</v>
      </c>
      <c r="W166" s="64" t="s">
        <v>5791</v>
      </c>
      <c r="X166" s="309" t="s">
        <v>4420</v>
      </c>
      <c r="Y166" s="309" t="s">
        <v>5791</v>
      </c>
      <c r="Z166" s="309" t="s">
        <v>4558</v>
      </c>
      <c r="AA166" s="17">
        <v>4</v>
      </c>
      <c r="AB166" s="232">
        <v>0</v>
      </c>
      <c r="AC166" s="17">
        <v>0</v>
      </c>
      <c r="AD166" s="300" t="s">
        <v>3983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0" t="s">
        <v>3916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7" t="s">
        <v>5806</v>
      </c>
      <c r="AX166" s="309" t="s">
        <v>6101</v>
      </c>
      <c r="AY166" s="16">
        <f>640/AZ169/0.25</f>
        <v>128</v>
      </c>
      <c r="AZ166" s="309">
        <v>20</v>
      </c>
      <c r="BA166" s="309">
        <f t="shared" si="38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4420</v>
      </c>
      <c r="BH166" s="309" t="s">
        <v>4465</v>
      </c>
      <c r="BI166" s="309" t="s">
        <v>4465</v>
      </c>
      <c r="BJ166" s="309">
        <v>4</v>
      </c>
      <c r="BK166" s="17">
        <v>8</v>
      </c>
      <c r="BL166" s="194" t="s">
        <v>5791</v>
      </c>
      <c r="BM166" s="195" t="s">
        <v>5791</v>
      </c>
      <c r="BN166" s="195" t="s">
        <v>5791</v>
      </c>
      <c r="BO166" s="195" t="s">
        <v>5791</v>
      </c>
      <c r="BP166" s="195" t="s">
        <v>5791</v>
      </c>
      <c r="BQ166" s="195" t="s">
        <v>5791</v>
      </c>
      <c r="BR166" s="195" t="s">
        <v>5791</v>
      </c>
      <c r="BS166" s="195" t="s">
        <v>5791</v>
      </c>
      <c r="BT166" s="194" t="s">
        <v>5791</v>
      </c>
      <c r="BU166" s="195" t="s">
        <v>5791</v>
      </c>
      <c r="BV166" s="195" t="s">
        <v>5791</v>
      </c>
      <c r="BW166" s="195" t="s">
        <v>5791</v>
      </c>
      <c r="BX166" s="195" t="s">
        <v>5791</v>
      </c>
      <c r="BY166" s="195" t="s">
        <v>5791</v>
      </c>
      <c r="BZ166" s="213" t="s">
        <v>5791</v>
      </c>
      <c r="CA166" s="194" t="s">
        <v>5791</v>
      </c>
      <c r="CB166" s="195" t="s">
        <v>5791</v>
      </c>
      <c r="CC166" s="195" t="s">
        <v>5791</v>
      </c>
      <c r="CD166" s="195" t="s">
        <v>5791</v>
      </c>
      <c r="CE166" s="195" t="s">
        <v>5791</v>
      </c>
      <c r="CF166" s="213" t="s">
        <v>5791</v>
      </c>
      <c r="CG166" s="309" t="s">
        <v>6272</v>
      </c>
      <c r="CH166" s="309">
        <v>235</v>
      </c>
      <c r="CI166" s="16">
        <v>333.5</v>
      </c>
      <c r="CJ166" s="64">
        <v>360</v>
      </c>
      <c r="CK166" s="309">
        <v>463</v>
      </c>
      <c r="CL166" s="65">
        <v>200000</v>
      </c>
      <c r="CM166" s="309" t="s">
        <v>6272</v>
      </c>
      <c r="CN166" s="309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9" t="s">
        <v>6272</v>
      </c>
      <c r="CT166" s="309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5791</v>
      </c>
      <c r="CZ166" s="199" t="s">
        <v>5791</v>
      </c>
      <c r="DA166" s="199" t="s">
        <v>5791</v>
      </c>
      <c r="DB166" s="200" t="s">
        <v>5791</v>
      </c>
      <c r="DC166" s="198" t="s">
        <v>5791</v>
      </c>
      <c r="DD166" s="199" t="s">
        <v>5791</v>
      </c>
      <c r="DE166" s="200" t="s">
        <v>5791</v>
      </c>
      <c r="DF166" s="273" t="s">
        <v>5791</v>
      </c>
      <c r="DG166" s="309">
        <v>10.9</v>
      </c>
      <c r="DH166" s="309">
        <v>900</v>
      </c>
      <c r="DI166" s="30">
        <v>990</v>
      </c>
      <c r="DJ166" s="309">
        <v>1000</v>
      </c>
      <c r="DK166" s="309">
        <v>1141</v>
      </c>
      <c r="DL166" s="75">
        <v>200000</v>
      </c>
      <c r="DM166" s="28" t="s">
        <v>4775</v>
      </c>
      <c r="DN166" s="309" t="s">
        <v>4435</v>
      </c>
      <c r="DO166" s="305" t="s">
        <v>6106</v>
      </c>
    </row>
    <row r="167" spans="1:119">
      <c r="A167" s="298">
        <v>162</v>
      </c>
      <c r="B167" s="361"/>
      <c r="C167" s="361"/>
      <c r="D167" s="379"/>
      <c r="E167" s="380"/>
      <c r="F167" s="349"/>
      <c r="G167" s="349"/>
      <c r="H167" s="349"/>
      <c r="I167" s="349"/>
      <c r="J167" s="286" t="s">
        <v>6102</v>
      </c>
      <c r="K167" s="298" t="s">
        <v>4383</v>
      </c>
      <c r="L167" s="310" t="s">
        <v>5791</v>
      </c>
      <c r="M167" s="301" t="s">
        <v>4508</v>
      </c>
      <c r="N167" s="310" t="s">
        <v>4702</v>
      </c>
      <c r="O167" s="18" t="s">
        <v>4506</v>
      </c>
      <c r="P167" s="301" t="s">
        <v>4420</v>
      </c>
      <c r="Q167" s="303" t="s">
        <v>4420</v>
      </c>
      <c r="R167" s="303" t="s">
        <v>4420</v>
      </c>
      <c r="S167" s="310" t="s">
        <v>5791</v>
      </c>
      <c r="T167" s="59" t="s">
        <v>4420</v>
      </c>
      <c r="U167" s="59" t="s">
        <v>5791</v>
      </c>
      <c r="V167" s="59" t="s">
        <v>4420</v>
      </c>
      <c r="W167" s="59" t="s">
        <v>5791</v>
      </c>
      <c r="X167" s="310" t="s">
        <v>4420</v>
      </c>
      <c r="Y167" s="310" t="s">
        <v>5791</v>
      </c>
      <c r="Z167" s="310" t="s">
        <v>4558</v>
      </c>
      <c r="AA167" s="18">
        <v>4</v>
      </c>
      <c r="AB167" s="223">
        <v>173</v>
      </c>
      <c r="AC167" s="18">
        <v>0</v>
      </c>
      <c r="AD167" s="301" t="s">
        <v>3983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1" t="s">
        <v>3916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8" t="s">
        <v>5806</v>
      </c>
      <c r="AX167" s="310" t="s">
        <v>6101</v>
      </c>
      <c r="AY167" s="21" t="e">
        <f>640/AZ375/0.25</f>
        <v>#DIV/0!</v>
      </c>
      <c r="AZ167" s="310">
        <v>20</v>
      </c>
      <c r="BA167" s="310">
        <f t="shared" si="38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4420</v>
      </c>
      <c r="BH167" s="310" t="s">
        <v>4465</v>
      </c>
      <c r="BI167" s="310" t="s">
        <v>4465</v>
      </c>
      <c r="BJ167" s="310">
        <v>4</v>
      </c>
      <c r="BK167" s="18">
        <v>8</v>
      </c>
      <c r="BL167" s="196" t="s">
        <v>5791</v>
      </c>
      <c r="BM167" s="197" t="s">
        <v>5791</v>
      </c>
      <c r="BN167" s="197" t="s">
        <v>5791</v>
      </c>
      <c r="BO167" s="197" t="s">
        <v>5791</v>
      </c>
      <c r="BP167" s="197" t="s">
        <v>5791</v>
      </c>
      <c r="BQ167" s="197" t="s">
        <v>5791</v>
      </c>
      <c r="BR167" s="197" t="s">
        <v>5791</v>
      </c>
      <c r="BS167" s="197" t="s">
        <v>5791</v>
      </c>
      <c r="BT167" s="196" t="s">
        <v>5791</v>
      </c>
      <c r="BU167" s="197" t="s">
        <v>5791</v>
      </c>
      <c r="BV167" s="197" t="s">
        <v>5791</v>
      </c>
      <c r="BW167" s="197" t="s">
        <v>5791</v>
      </c>
      <c r="BX167" s="197" t="s">
        <v>5791</v>
      </c>
      <c r="BY167" s="197" t="s">
        <v>5791</v>
      </c>
      <c r="BZ167" s="212" t="s">
        <v>5791</v>
      </c>
      <c r="CA167" s="196" t="s">
        <v>5791</v>
      </c>
      <c r="CB167" s="197" t="s">
        <v>5791</v>
      </c>
      <c r="CC167" s="197" t="s">
        <v>5791</v>
      </c>
      <c r="CD167" s="197" t="s">
        <v>5791</v>
      </c>
      <c r="CE167" s="197" t="s">
        <v>5791</v>
      </c>
      <c r="CF167" s="212" t="s">
        <v>5791</v>
      </c>
      <c r="CG167" s="310" t="s">
        <v>6272</v>
      </c>
      <c r="CH167" s="310">
        <v>235</v>
      </c>
      <c r="CI167" s="21">
        <v>333.5</v>
      </c>
      <c r="CJ167" s="59">
        <v>360</v>
      </c>
      <c r="CK167" s="310">
        <v>463</v>
      </c>
      <c r="CL167" s="66">
        <v>200000</v>
      </c>
      <c r="CM167" s="310" t="s">
        <v>6272</v>
      </c>
      <c r="CN167" s="310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10" t="s">
        <v>6272</v>
      </c>
      <c r="CT167" s="310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5791</v>
      </c>
      <c r="CZ167" s="202" t="s">
        <v>5791</v>
      </c>
      <c r="DA167" s="202" t="s">
        <v>5791</v>
      </c>
      <c r="DB167" s="203" t="s">
        <v>5791</v>
      </c>
      <c r="DC167" s="201" t="s">
        <v>5791</v>
      </c>
      <c r="DD167" s="202" t="s">
        <v>5791</v>
      </c>
      <c r="DE167" s="203" t="s">
        <v>5791</v>
      </c>
      <c r="DF167" s="274" t="s">
        <v>5791</v>
      </c>
      <c r="DG167" s="310">
        <v>10.9</v>
      </c>
      <c r="DH167" s="310">
        <v>900</v>
      </c>
      <c r="DI167" s="32">
        <v>990</v>
      </c>
      <c r="DJ167" s="310">
        <v>1000</v>
      </c>
      <c r="DK167" s="310">
        <v>1141</v>
      </c>
      <c r="DL167" s="60">
        <v>200000</v>
      </c>
      <c r="DM167" s="29" t="s">
        <v>4775</v>
      </c>
      <c r="DN167" s="310" t="s">
        <v>4435</v>
      </c>
      <c r="DO167" s="306" t="s">
        <v>6108</v>
      </c>
    </row>
    <row r="168" spans="1:119">
      <c r="A168" s="298">
        <v>163</v>
      </c>
      <c r="B168" s="361"/>
      <c r="C168" s="361"/>
      <c r="D168" s="379"/>
      <c r="E168" s="380"/>
      <c r="F168" s="349"/>
      <c r="G168" s="349"/>
      <c r="H168" s="349"/>
      <c r="I168" s="349"/>
      <c r="J168" s="286" t="s">
        <v>6103</v>
      </c>
      <c r="K168" s="298" t="s">
        <v>4383</v>
      </c>
      <c r="L168" s="310" t="s">
        <v>5791</v>
      </c>
      <c r="M168" s="301" t="s">
        <v>4508</v>
      </c>
      <c r="N168" s="310" t="s">
        <v>4702</v>
      </c>
      <c r="O168" s="18" t="s">
        <v>4506</v>
      </c>
      <c r="P168" s="301" t="s">
        <v>4420</v>
      </c>
      <c r="Q168" s="303" t="s">
        <v>4420</v>
      </c>
      <c r="R168" s="303" t="s">
        <v>4420</v>
      </c>
      <c r="S168" s="310" t="s">
        <v>5791</v>
      </c>
      <c r="T168" s="59" t="s">
        <v>4420</v>
      </c>
      <c r="U168" s="59" t="s">
        <v>5791</v>
      </c>
      <c r="V168" s="59" t="s">
        <v>4420</v>
      </c>
      <c r="W168" s="59" t="s">
        <v>5791</v>
      </c>
      <c r="X168" s="310" t="s">
        <v>4420</v>
      </c>
      <c r="Y168" s="310" t="s">
        <v>5791</v>
      </c>
      <c r="Z168" s="310" t="s">
        <v>4558</v>
      </c>
      <c r="AA168" s="18">
        <v>4</v>
      </c>
      <c r="AB168" s="223">
        <v>622</v>
      </c>
      <c r="AC168" s="18">
        <v>0</v>
      </c>
      <c r="AD168" s="301" t="s">
        <v>3983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1" t="s">
        <v>3916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8"/>
      <c r="AX168" s="310" t="s">
        <v>6101</v>
      </c>
      <c r="AY168" s="21" t="e">
        <f>640/AZ376/0.25</f>
        <v>#DIV/0!</v>
      </c>
      <c r="AZ168" s="310">
        <v>20</v>
      </c>
      <c r="BA168" s="310">
        <f t="shared" si="38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4420</v>
      </c>
      <c r="BH168" s="310" t="s">
        <v>4465</v>
      </c>
      <c r="BI168" s="310" t="s">
        <v>4465</v>
      </c>
      <c r="BJ168" s="310">
        <v>4</v>
      </c>
      <c r="BK168" s="18">
        <v>8</v>
      </c>
      <c r="BL168" s="196" t="s">
        <v>5791</v>
      </c>
      <c r="BM168" s="197" t="s">
        <v>5791</v>
      </c>
      <c r="BN168" s="197" t="s">
        <v>5791</v>
      </c>
      <c r="BO168" s="197" t="s">
        <v>5791</v>
      </c>
      <c r="BP168" s="197" t="s">
        <v>5791</v>
      </c>
      <c r="BQ168" s="197" t="s">
        <v>5791</v>
      </c>
      <c r="BR168" s="197" t="s">
        <v>5791</v>
      </c>
      <c r="BS168" s="197" t="s">
        <v>5791</v>
      </c>
      <c r="BT168" s="196" t="s">
        <v>5791</v>
      </c>
      <c r="BU168" s="197" t="s">
        <v>5791</v>
      </c>
      <c r="BV168" s="197" t="s">
        <v>5791</v>
      </c>
      <c r="BW168" s="197" t="s">
        <v>5791</v>
      </c>
      <c r="BX168" s="197" t="s">
        <v>5791</v>
      </c>
      <c r="BY168" s="197" t="s">
        <v>5791</v>
      </c>
      <c r="BZ168" s="212" t="s">
        <v>5791</v>
      </c>
      <c r="CA168" s="196" t="s">
        <v>5791</v>
      </c>
      <c r="CB168" s="197" t="s">
        <v>5791</v>
      </c>
      <c r="CC168" s="197" t="s">
        <v>5791</v>
      </c>
      <c r="CD168" s="197" t="s">
        <v>5791</v>
      </c>
      <c r="CE168" s="197" t="s">
        <v>5791</v>
      </c>
      <c r="CF168" s="212" t="s">
        <v>5791</v>
      </c>
      <c r="CG168" s="310" t="s">
        <v>6272</v>
      </c>
      <c r="CH168" s="310">
        <v>235</v>
      </c>
      <c r="CI168" s="21">
        <v>333.5</v>
      </c>
      <c r="CJ168" s="59">
        <v>360</v>
      </c>
      <c r="CK168" s="310">
        <v>463</v>
      </c>
      <c r="CL168" s="66">
        <v>200000</v>
      </c>
      <c r="CM168" s="310" t="s">
        <v>6272</v>
      </c>
      <c r="CN168" s="310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10" t="s">
        <v>6272</v>
      </c>
      <c r="CT168" s="310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5791</v>
      </c>
      <c r="CZ168" s="202" t="s">
        <v>5791</v>
      </c>
      <c r="DA168" s="202" t="s">
        <v>5791</v>
      </c>
      <c r="DB168" s="203" t="s">
        <v>5791</v>
      </c>
      <c r="DC168" s="201" t="s">
        <v>5791</v>
      </c>
      <c r="DD168" s="202" t="s">
        <v>5791</v>
      </c>
      <c r="DE168" s="203" t="s">
        <v>5791</v>
      </c>
      <c r="DF168" s="274" t="s">
        <v>5791</v>
      </c>
      <c r="DG168" s="310">
        <v>10.9</v>
      </c>
      <c r="DH168" s="310">
        <v>900</v>
      </c>
      <c r="DI168" s="32">
        <v>990</v>
      </c>
      <c r="DJ168" s="310">
        <v>1000</v>
      </c>
      <c r="DK168" s="310">
        <v>1141</v>
      </c>
      <c r="DL168" s="60">
        <v>200000</v>
      </c>
      <c r="DM168" s="29" t="s">
        <v>4770</v>
      </c>
      <c r="DN168" s="310" t="s">
        <v>4435</v>
      </c>
      <c r="DO168" s="306" t="s">
        <v>6107</v>
      </c>
    </row>
    <row r="169" spans="1:119" ht="16.2" thickBot="1">
      <c r="A169" s="299">
        <v>164</v>
      </c>
      <c r="B169" s="352"/>
      <c r="C169" s="352"/>
      <c r="D169" s="354"/>
      <c r="E169" s="356"/>
      <c r="F169" s="350"/>
      <c r="G169" s="350"/>
      <c r="H169" s="350"/>
      <c r="I169" s="350"/>
      <c r="J169" s="285" t="s">
        <v>6098</v>
      </c>
      <c r="K169" s="299" t="s">
        <v>4383</v>
      </c>
      <c r="L169" s="304" t="s">
        <v>5791</v>
      </c>
      <c r="M169" s="299" t="s">
        <v>4507</v>
      </c>
      <c r="N169" s="311" t="s">
        <v>4701</v>
      </c>
      <c r="O169" s="49" t="s">
        <v>4506</v>
      </c>
      <c r="P169" s="299" t="s">
        <v>4470</v>
      </c>
      <c r="Q169" s="304" t="s">
        <v>4420</v>
      </c>
      <c r="R169" s="304" t="s">
        <v>4420</v>
      </c>
      <c r="S169" s="304" t="s">
        <v>5791</v>
      </c>
      <c r="T169" s="86" t="s">
        <v>4420</v>
      </c>
      <c r="U169" s="86" t="s">
        <v>5791</v>
      </c>
      <c r="V169" s="86" t="s">
        <v>4420</v>
      </c>
      <c r="W169" s="86" t="s">
        <v>5791</v>
      </c>
      <c r="X169" s="304" t="s">
        <v>4420</v>
      </c>
      <c r="Y169" s="304" t="s">
        <v>5791</v>
      </c>
      <c r="Z169" s="311" t="s">
        <v>4558</v>
      </c>
      <c r="AA169" s="14">
        <v>4</v>
      </c>
      <c r="AB169" s="228">
        <v>0</v>
      </c>
      <c r="AC169" s="14">
        <v>0</v>
      </c>
      <c r="AD169" s="308" t="s">
        <v>3983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8" t="s">
        <v>3916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9" t="s">
        <v>5806</v>
      </c>
      <c r="AX169" s="311" t="s">
        <v>6101</v>
      </c>
      <c r="AY169" s="23">
        <f>640/AZ169/0.25</f>
        <v>128</v>
      </c>
      <c r="AZ169" s="304">
        <v>20</v>
      </c>
      <c r="BA169" s="304">
        <f t="shared" si="38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4420</v>
      </c>
      <c r="BH169" s="304" t="s">
        <v>4465</v>
      </c>
      <c r="BI169" s="304" t="s">
        <v>4465</v>
      </c>
      <c r="BJ169" s="304">
        <v>4</v>
      </c>
      <c r="BK169" s="49">
        <v>8</v>
      </c>
      <c r="BL169" s="301">
        <v>120</v>
      </c>
      <c r="BM169" s="310">
        <v>1000</v>
      </c>
      <c r="BN169" s="197" t="s">
        <v>5791</v>
      </c>
      <c r="BO169" s="197" t="s">
        <v>5791</v>
      </c>
      <c r="BP169" s="197" t="s">
        <v>5791</v>
      </c>
      <c r="BQ169" s="197" t="s">
        <v>5791</v>
      </c>
      <c r="BR169" s="197" t="s">
        <v>5791</v>
      </c>
      <c r="BS169" s="197" t="s">
        <v>5791</v>
      </c>
      <c r="BT169" s="308" t="s">
        <v>5855</v>
      </c>
      <c r="BU169" s="311">
        <v>10</v>
      </c>
      <c r="BV169" s="311">
        <v>1</v>
      </c>
      <c r="BW169" s="311">
        <v>19</v>
      </c>
      <c r="BX169" s="311">
        <v>100</v>
      </c>
      <c r="BY169" s="311">
        <v>75</v>
      </c>
      <c r="BZ169" s="14">
        <v>150</v>
      </c>
      <c r="CA169" s="308" t="s">
        <v>6096</v>
      </c>
      <c r="CB169" s="311" t="s">
        <v>6097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11" t="s">
        <v>6272</v>
      </c>
      <c r="CH169" s="86">
        <v>235</v>
      </c>
      <c r="CI169" s="23">
        <v>334</v>
      </c>
      <c r="CJ169" s="86">
        <v>360</v>
      </c>
      <c r="CK169" s="311">
        <v>463</v>
      </c>
      <c r="CL169" s="69">
        <v>200000</v>
      </c>
      <c r="CM169" s="311" t="s">
        <v>6272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11" t="s">
        <v>6272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8" t="s">
        <v>6099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5791</v>
      </c>
      <c r="DG169" s="311">
        <v>10.9</v>
      </c>
      <c r="DH169" s="311">
        <v>900</v>
      </c>
      <c r="DI169" s="34">
        <v>990</v>
      </c>
      <c r="DJ169" s="311">
        <v>1000</v>
      </c>
      <c r="DK169" s="311">
        <v>1141</v>
      </c>
      <c r="DL169" s="76">
        <v>200000</v>
      </c>
      <c r="DM169" s="27" t="s">
        <v>6104</v>
      </c>
      <c r="DN169" s="308" t="s">
        <v>4435</v>
      </c>
      <c r="DO169" s="307" t="s">
        <v>6214</v>
      </c>
    </row>
    <row r="170" spans="1:119" ht="15.6" customHeight="1">
      <c r="A170" s="300">
        <v>165</v>
      </c>
      <c r="B170" s="348">
        <v>24</v>
      </c>
      <c r="C170" s="348">
        <v>1996</v>
      </c>
      <c r="D170" s="458" t="s">
        <v>4709</v>
      </c>
      <c r="E170" s="373" t="s">
        <v>4857</v>
      </c>
      <c r="F170" s="348">
        <v>3</v>
      </c>
      <c r="G170" s="368" t="s">
        <v>5907</v>
      </c>
      <c r="H170" s="368" t="s">
        <v>5906</v>
      </c>
      <c r="I170" s="368" t="s">
        <v>6232</v>
      </c>
      <c r="J170" s="290" t="s">
        <v>6273</v>
      </c>
      <c r="K170" s="300" t="s">
        <v>4383</v>
      </c>
      <c r="L170" s="30" t="s">
        <v>5791</v>
      </c>
      <c r="M170" s="300" t="s">
        <v>4508</v>
      </c>
      <c r="N170" s="309" t="s">
        <v>4702</v>
      </c>
      <c r="O170" s="17" t="s">
        <v>4506</v>
      </c>
      <c r="P170" s="309" t="s">
        <v>4420</v>
      </c>
      <c r="Q170" s="309" t="s">
        <v>4420</v>
      </c>
      <c r="R170" s="309" t="s">
        <v>6164</v>
      </c>
      <c r="S170" s="30">
        <v>20</v>
      </c>
      <c r="T170" s="64" t="s">
        <v>4420</v>
      </c>
      <c r="U170" s="64" t="s">
        <v>5791</v>
      </c>
      <c r="V170" s="64" t="s">
        <v>4420</v>
      </c>
      <c r="W170" s="64" t="s">
        <v>5791</v>
      </c>
      <c r="X170" s="309" t="s">
        <v>4420</v>
      </c>
      <c r="Y170" s="309" t="s">
        <v>5791</v>
      </c>
      <c r="Z170" s="30" t="s">
        <v>4558</v>
      </c>
      <c r="AA170" s="87">
        <v>10</v>
      </c>
      <c r="AB170" s="224">
        <v>0</v>
      </c>
      <c r="AC170" s="18" t="s">
        <v>5791</v>
      </c>
      <c r="AD170" s="300" t="s">
        <v>4514</v>
      </c>
      <c r="AE170" s="16" t="s">
        <v>5791</v>
      </c>
      <c r="AF170" s="16" t="s">
        <v>5791</v>
      </c>
      <c r="AG170" s="30">
        <v>51</v>
      </c>
      <c r="AH170" s="16" t="s">
        <v>5791</v>
      </c>
      <c r="AI170" s="16" t="s">
        <v>5791</v>
      </c>
      <c r="AJ170" s="300" t="s">
        <v>6322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5" si="54">(AT170-AK170)/2</f>
        <v>0</v>
      </c>
      <c r="AW170" s="297" t="s">
        <v>5806</v>
      </c>
      <c r="AX170" s="309" t="s">
        <v>4497</v>
      </c>
      <c r="AY170" s="16">
        <f>0.4*DH170*BA170/1000</f>
        <v>62.72</v>
      </c>
      <c r="AZ170" s="309">
        <v>20</v>
      </c>
      <c r="BA170" s="309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6318</v>
      </c>
      <c r="BH170" s="309" t="s">
        <v>6204</v>
      </c>
      <c r="BI170" s="309" t="s">
        <v>6204</v>
      </c>
      <c r="BJ170" s="309">
        <v>2</v>
      </c>
      <c r="BK170" s="17">
        <v>4</v>
      </c>
      <c r="BL170" s="194" t="s">
        <v>5791</v>
      </c>
      <c r="BM170" s="195" t="s">
        <v>5791</v>
      </c>
      <c r="BN170" s="195" t="s">
        <v>5791</v>
      </c>
      <c r="BO170" s="195" t="s">
        <v>5791</v>
      </c>
      <c r="BP170" s="195" t="s">
        <v>5791</v>
      </c>
      <c r="BQ170" s="195" t="s">
        <v>5791</v>
      </c>
      <c r="BR170" s="195" t="s">
        <v>5791</v>
      </c>
      <c r="BS170" s="195" t="s">
        <v>5791</v>
      </c>
      <c r="BT170" s="194" t="s">
        <v>5791</v>
      </c>
      <c r="BU170" s="195" t="s">
        <v>5791</v>
      </c>
      <c r="BV170" s="195" t="s">
        <v>5791</v>
      </c>
      <c r="BW170" s="195" t="s">
        <v>5791</v>
      </c>
      <c r="BX170" s="195" t="s">
        <v>5791</v>
      </c>
      <c r="BY170" s="195" t="s">
        <v>5791</v>
      </c>
      <c r="BZ170" s="213" t="s">
        <v>5791</v>
      </c>
      <c r="CA170" s="194" t="s">
        <v>5791</v>
      </c>
      <c r="CB170" s="195" t="s">
        <v>5791</v>
      </c>
      <c r="CC170" s="195" t="s">
        <v>5791</v>
      </c>
      <c r="CD170" s="195" t="s">
        <v>5791</v>
      </c>
      <c r="CE170" s="195" t="s">
        <v>5791</v>
      </c>
      <c r="CF170" s="213" t="s">
        <v>5791</v>
      </c>
      <c r="CG170" s="309" t="s">
        <v>6323</v>
      </c>
      <c r="CH170" s="309">
        <v>235</v>
      </c>
      <c r="CI170" s="16">
        <v>309</v>
      </c>
      <c r="CJ170" s="64">
        <v>360</v>
      </c>
      <c r="CK170" s="309">
        <v>408</v>
      </c>
      <c r="CL170" s="65">
        <v>200000</v>
      </c>
      <c r="CM170" s="309" t="s">
        <v>6323</v>
      </c>
      <c r="CN170" s="309">
        <v>235</v>
      </c>
      <c r="CO170" s="16">
        <v>309</v>
      </c>
      <c r="CP170" s="64">
        <v>360</v>
      </c>
      <c r="CQ170" s="309">
        <v>408</v>
      </c>
      <c r="CR170" s="65">
        <v>200000</v>
      </c>
      <c r="CS170" s="309" t="s">
        <v>6323</v>
      </c>
      <c r="CT170" s="309">
        <v>235</v>
      </c>
      <c r="CU170" s="16">
        <v>309</v>
      </c>
      <c r="CV170" s="64">
        <v>360</v>
      </c>
      <c r="CW170" s="309">
        <v>408</v>
      </c>
      <c r="CX170" s="65">
        <v>200000</v>
      </c>
      <c r="CY170" s="198" t="s">
        <v>5791</v>
      </c>
      <c r="CZ170" s="199" t="s">
        <v>5791</v>
      </c>
      <c r="DA170" s="199" t="s">
        <v>5791</v>
      </c>
      <c r="DB170" s="200" t="s">
        <v>5791</v>
      </c>
      <c r="DC170" s="198" t="s">
        <v>5791</v>
      </c>
      <c r="DD170" s="199" t="s">
        <v>5791</v>
      </c>
      <c r="DE170" s="200" t="s">
        <v>5791</v>
      </c>
      <c r="DF170" s="273" t="s">
        <v>5791</v>
      </c>
      <c r="DG170" s="309">
        <v>8.8000000000000007</v>
      </c>
      <c r="DH170" s="309">
        <v>640</v>
      </c>
      <c r="DI170" s="30">
        <v>730</v>
      </c>
      <c r="DJ170" s="309">
        <v>800</v>
      </c>
      <c r="DK170" s="32">
        <v>940</v>
      </c>
      <c r="DL170" s="75">
        <v>200000</v>
      </c>
      <c r="DM170" s="42" t="s">
        <v>4769</v>
      </c>
      <c r="DN170" s="309" t="s">
        <v>4435</v>
      </c>
      <c r="DO170" s="306" t="s">
        <v>4565</v>
      </c>
    </row>
    <row r="171" spans="1:119">
      <c r="A171" s="301">
        <v>166</v>
      </c>
      <c r="B171" s="349"/>
      <c r="C171" s="349"/>
      <c r="D171" s="459"/>
      <c r="E171" s="374"/>
      <c r="F171" s="349"/>
      <c r="G171" s="369"/>
      <c r="H171" s="369"/>
      <c r="I171" s="369"/>
      <c r="J171" s="286" t="s">
        <v>6274</v>
      </c>
      <c r="K171" s="301" t="s">
        <v>6324</v>
      </c>
      <c r="L171" s="32" t="s">
        <v>6059</v>
      </c>
      <c r="M171" s="301" t="s">
        <v>4508</v>
      </c>
      <c r="N171" s="310" t="s">
        <v>4702</v>
      </c>
      <c r="O171" s="18" t="s">
        <v>4506</v>
      </c>
      <c r="P171" s="310" t="s">
        <v>6317</v>
      </c>
      <c r="Q171" s="310" t="s">
        <v>4420</v>
      </c>
      <c r="R171" s="310" t="s">
        <v>6164</v>
      </c>
      <c r="S171" s="32">
        <v>20</v>
      </c>
      <c r="T171" s="59" t="s">
        <v>4420</v>
      </c>
      <c r="U171" s="59" t="s">
        <v>5791</v>
      </c>
      <c r="V171" s="59" t="s">
        <v>4420</v>
      </c>
      <c r="W171" s="59" t="s">
        <v>5791</v>
      </c>
      <c r="X171" s="310" t="s">
        <v>4420</v>
      </c>
      <c r="Y171" s="310" t="s">
        <v>5791</v>
      </c>
      <c r="Z171" s="32" t="s">
        <v>4558</v>
      </c>
      <c r="AA171" s="72">
        <v>10</v>
      </c>
      <c r="AB171" s="224">
        <v>0</v>
      </c>
      <c r="AC171" s="18" t="s">
        <v>5791</v>
      </c>
      <c r="AD171" s="301" t="s">
        <v>4514</v>
      </c>
      <c r="AE171" s="21" t="s">
        <v>5791</v>
      </c>
      <c r="AF171" s="21" t="s">
        <v>5791</v>
      </c>
      <c r="AG171" s="32">
        <v>51</v>
      </c>
      <c r="AH171" s="21" t="s">
        <v>5791</v>
      </c>
      <c r="AI171" s="21" t="s">
        <v>5791</v>
      </c>
      <c r="AJ171" s="301" t="s">
        <v>6322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4"/>
        <v>0</v>
      </c>
      <c r="AW171" s="298" t="s">
        <v>5806</v>
      </c>
      <c r="AX171" s="310" t="s">
        <v>4497</v>
      </c>
      <c r="AY171" s="21">
        <f>0.4*DH171*BA171/1000</f>
        <v>62.72</v>
      </c>
      <c r="AZ171" s="310">
        <v>20</v>
      </c>
      <c r="BA171" s="310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6318</v>
      </c>
      <c r="BH171" s="310" t="s">
        <v>6204</v>
      </c>
      <c r="BI171" s="310" t="s">
        <v>6204</v>
      </c>
      <c r="BJ171" s="310">
        <v>2</v>
      </c>
      <c r="BK171" s="18">
        <v>4</v>
      </c>
      <c r="BL171" s="196" t="s">
        <v>5791</v>
      </c>
      <c r="BM171" s="197" t="s">
        <v>5791</v>
      </c>
      <c r="BN171" s="197" t="s">
        <v>5791</v>
      </c>
      <c r="BO171" s="197" t="s">
        <v>5791</v>
      </c>
      <c r="BP171" s="197" t="s">
        <v>5791</v>
      </c>
      <c r="BQ171" s="197" t="s">
        <v>5791</v>
      </c>
      <c r="BR171" s="197" t="s">
        <v>5791</v>
      </c>
      <c r="BS171" s="197" t="s">
        <v>5791</v>
      </c>
      <c r="BT171" s="196" t="s">
        <v>5791</v>
      </c>
      <c r="BU171" s="197" t="s">
        <v>5791</v>
      </c>
      <c r="BV171" s="197" t="s">
        <v>5791</v>
      </c>
      <c r="BW171" s="197" t="s">
        <v>5791</v>
      </c>
      <c r="BX171" s="197" t="s">
        <v>5791</v>
      </c>
      <c r="BY171" s="197" t="s">
        <v>5791</v>
      </c>
      <c r="BZ171" s="212" t="s">
        <v>5791</v>
      </c>
      <c r="CA171" s="196" t="s">
        <v>5791</v>
      </c>
      <c r="CB171" s="197" t="s">
        <v>5791</v>
      </c>
      <c r="CC171" s="197" t="s">
        <v>5791</v>
      </c>
      <c r="CD171" s="197" t="s">
        <v>5791</v>
      </c>
      <c r="CE171" s="197" t="s">
        <v>5791</v>
      </c>
      <c r="CF171" s="212" t="s">
        <v>5791</v>
      </c>
      <c r="CG171" s="310" t="s">
        <v>6275</v>
      </c>
      <c r="CH171" s="310">
        <v>275</v>
      </c>
      <c r="CI171" s="21">
        <v>321</v>
      </c>
      <c r="CJ171" s="59">
        <v>510</v>
      </c>
      <c r="CK171" s="310">
        <v>465</v>
      </c>
      <c r="CL171" s="66">
        <v>200000</v>
      </c>
      <c r="CM171" s="310" t="s">
        <v>6275</v>
      </c>
      <c r="CN171" s="310">
        <v>275</v>
      </c>
      <c r="CO171" s="21">
        <v>321</v>
      </c>
      <c r="CP171" s="59">
        <v>510</v>
      </c>
      <c r="CQ171" s="310">
        <v>465</v>
      </c>
      <c r="CR171" s="66">
        <v>200000</v>
      </c>
      <c r="CS171" s="310" t="s">
        <v>6275</v>
      </c>
      <c r="CT171" s="310">
        <v>275</v>
      </c>
      <c r="CU171" s="21">
        <v>321</v>
      </c>
      <c r="CV171" s="59">
        <v>510</v>
      </c>
      <c r="CW171" s="310">
        <v>465</v>
      </c>
      <c r="CX171" s="66">
        <v>200000</v>
      </c>
      <c r="CY171" s="201" t="s">
        <v>5791</v>
      </c>
      <c r="CZ171" s="202" t="s">
        <v>5791</v>
      </c>
      <c r="DA171" s="202" t="s">
        <v>5791</v>
      </c>
      <c r="DB171" s="203" t="s">
        <v>5791</v>
      </c>
      <c r="DC171" s="201" t="s">
        <v>5791</v>
      </c>
      <c r="DD171" s="202" t="s">
        <v>5791</v>
      </c>
      <c r="DE171" s="203" t="s">
        <v>5791</v>
      </c>
      <c r="DF171" s="274" t="s">
        <v>5791</v>
      </c>
      <c r="DG171" s="310">
        <v>8.8000000000000007</v>
      </c>
      <c r="DH171" s="310">
        <v>640</v>
      </c>
      <c r="DI171" s="32">
        <v>730</v>
      </c>
      <c r="DJ171" s="310">
        <v>800</v>
      </c>
      <c r="DK171" s="32">
        <v>940</v>
      </c>
      <c r="DL171" s="60">
        <v>200000</v>
      </c>
      <c r="DM171" s="40" t="s">
        <v>4769</v>
      </c>
      <c r="DN171" s="310" t="s">
        <v>4435</v>
      </c>
      <c r="DO171" s="306" t="s">
        <v>4565</v>
      </c>
    </row>
    <row r="172" spans="1:119" ht="15.6" customHeight="1" thickBot="1">
      <c r="A172" s="308">
        <v>167</v>
      </c>
      <c r="B172" s="350"/>
      <c r="C172" s="350"/>
      <c r="D172" s="460"/>
      <c r="E172" s="375"/>
      <c r="F172" s="350"/>
      <c r="G172" s="370"/>
      <c r="H172" s="370"/>
      <c r="I172" s="370"/>
      <c r="J172" s="285" t="s">
        <v>6276</v>
      </c>
      <c r="K172" s="308" t="s">
        <v>6324</v>
      </c>
      <c r="L172" s="34" t="s">
        <v>6059</v>
      </c>
      <c r="M172" s="308" t="s">
        <v>4508</v>
      </c>
      <c r="N172" s="311" t="s">
        <v>4702</v>
      </c>
      <c r="O172" s="14" t="s">
        <v>4506</v>
      </c>
      <c r="P172" s="311" t="s">
        <v>6317</v>
      </c>
      <c r="Q172" s="311" t="s">
        <v>4420</v>
      </c>
      <c r="R172" s="311" t="s">
        <v>6164</v>
      </c>
      <c r="S172" s="34">
        <v>20</v>
      </c>
      <c r="T172" s="86" t="s">
        <v>4420</v>
      </c>
      <c r="U172" s="86" t="s">
        <v>5791</v>
      </c>
      <c r="V172" s="86" t="s">
        <v>4420</v>
      </c>
      <c r="W172" s="86" t="s">
        <v>5791</v>
      </c>
      <c r="X172" s="311" t="s">
        <v>4420</v>
      </c>
      <c r="Y172" s="311" t="s">
        <v>5791</v>
      </c>
      <c r="Z172" s="34" t="s">
        <v>4558</v>
      </c>
      <c r="AA172" s="117">
        <v>10</v>
      </c>
      <c r="AB172" s="226">
        <v>0</v>
      </c>
      <c r="AC172" s="14" t="s">
        <v>5791</v>
      </c>
      <c r="AD172" s="157" t="s">
        <v>4514</v>
      </c>
      <c r="AE172" s="197" t="s">
        <v>5791</v>
      </c>
      <c r="AF172" s="197" t="s">
        <v>5791</v>
      </c>
      <c r="AG172" s="35">
        <v>51</v>
      </c>
      <c r="AH172" s="197" t="s">
        <v>5791</v>
      </c>
      <c r="AI172" s="197" t="s">
        <v>5791</v>
      </c>
      <c r="AJ172" s="308" t="s">
        <v>6322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4"/>
        <v>0</v>
      </c>
      <c r="AW172" s="308" t="s">
        <v>5806</v>
      </c>
      <c r="AX172" s="311" t="s">
        <v>4497</v>
      </c>
      <c r="AY172" s="23">
        <f>0.4*DH172*BA172/1000</f>
        <v>40.192</v>
      </c>
      <c r="AZ172" s="311">
        <v>16</v>
      </c>
      <c r="BA172" s="311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5">AT172-BB172-BC172-2*BD172</f>
        <v>60</v>
      </c>
      <c r="BG172" s="19" t="s">
        <v>6317</v>
      </c>
      <c r="BH172" s="311" t="s">
        <v>4465</v>
      </c>
      <c r="BI172" s="311" t="s">
        <v>4465</v>
      </c>
      <c r="BJ172" s="311">
        <v>4</v>
      </c>
      <c r="BK172" s="311">
        <v>8</v>
      </c>
      <c r="BL172" s="196" t="s">
        <v>5791</v>
      </c>
      <c r="BM172" s="197" t="s">
        <v>5791</v>
      </c>
      <c r="BN172" s="197" t="s">
        <v>5791</v>
      </c>
      <c r="BO172" s="197" t="s">
        <v>5791</v>
      </c>
      <c r="BP172" s="197" t="s">
        <v>5791</v>
      </c>
      <c r="BQ172" s="197" t="s">
        <v>5791</v>
      </c>
      <c r="BR172" s="197" t="s">
        <v>5791</v>
      </c>
      <c r="BS172" s="197" t="s">
        <v>5791</v>
      </c>
      <c r="BT172" s="196" t="s">
        <v>5791</v>
      </c>
      <c r="BU172" s="197" t="s">
        <v>5791</v>
      </c>
      <c r="BV172" s="197" t="s">
        <v>5791</v>
      </c>
      <c r="BW172" s="197" t="s">
        <v>5791</v>
      </c>
      <c r="BX172" s="197" t="s">
        <v>5791</v>
      </c>
      <c r="BY172" s="197" t="s">
        <v>5791</v>
      </c>
      <c r="BZ172" s="212" t="s">
        <v>5791</v>
      </c>
      <c r="CA172" s="197" t="s">
        <v>5791</v>
      </c>
      <c r="CB172" s="197" t="s">
        <v>5791</v>
      </c>
      <c r="CC172" s="197" t="s">
        <v>5791</v>
      </c>
      <c r="CD172" s="197" t="s">
        <v>5791</v>
      </c>
      <c r="CE172" s="197" t="s">
        <v>5791</v>
      </c>
      <c r="CF172" s="212" t="s">
        <v>5791</v>
      </c>
      <c r="CG172" s="311" t="s">
        <v>6275</v>
      </c>
      <c r="CH172" s="311">
        <v>275</v>
      </c>
      <c r="CI172" s="21">
        <v>321</v>
      </c>
      <c r="CJ172" s="311">
        <v>510</v>
      </c>
      <c r="CK172" s="310">
        <v>465</v>
      </c>
      <c r="CL172" s="69">
        <v>200000</v>
      </c>
      <c r="CM172" s="311" t="s">
        <v>6275</v>
      </c>
      <c r="CN172" s="311">
        <v>275</v>
      </c>
      <c r="CO172" s="21">
        <v>321</v>
      </c>
      <c r="CP172" s="311">
        <v>510</v>
      </c>
      <c r="CQ172" s="310">
        <v>465</v>
      </c>
      <c r="CR172" s="69">
        <v>200000</v>
      </c>
      <c r="CS172" s="311" t="s">
        <v>6275</v>
      </c>
      <c r="CT172" s="311">
        <v>275</v>
      </c>
      <c r="CU172" s="21">
        <v>321</v>
      </c>
      <c r="CV172" s="311">
        <v>510</v>
      </c>
      <c r="CW172" s="310">
        <v>465</v>
      </c>
      <c r="CX172" s="69">
        <v>200000</v>
      </c>
      <c r="CY172" s="204" t="s">
        <v>5791</v>
      </c>
      <c r="CZ172" s="205" t="s">
        <v>5791</v>
      </c>
      <c r="DA172" s="205" t="s">
        <v>5791</v>
      </c>
      <c r="DB172" s="206" t="s">
        <v>5791</v>
      </c>
      <c r="DC172" s="204" t="s">
        <v>5791</v>
      </c>
      <c r="DD172" s="205" t="s">
        <v>5791</v>
      </c>
      <c r="DE172" s="206" t="s">
        <v>5791</v>
      </c>
      <c r="DF172" s="274" t="s">
        <v>5791</v>
      </c>
      <c r="DG172" s="311">
        <v>8.8000000000000007</v>
      </c>
      <c r="DH172" s="311">
        <v>640</v>
      </c>
      <c r="DI172" s="34">
        <v>730</v>
      </c>
      <c r="DJ172" s="311">
        <v>800</v>
      </c>
      <c r="DK172" s="34">
        <v>940</v>
      </c>
      <c r="DL172" s="76">
        <v>200000</v>
      </c>
      <c r="DM172" s="27" t="s">
        <v>15</v>
      </c>
      <c r="DN172" s="311" t="s">
        <v>4435</v>
      </c>
      <c r="DO172" s="307" t="s">
        <v>4565</v>
      </c>
    </row>
    <row r="173" spans="1:119" ht="15.6" customHeight="1">
      <c r="A173" s="300">
        <v>168</v>
      </c>
      <c r="B173" s="348">
        <v>25</v>
      </c>
      <c r="C173" s="348">
        <v>1996</v>
      </c>
      <c r="D173" s="359" t="s">
        <v>4673</v>
      </c>
      <c r="E173" s="359" t="s">
        <v>4856</v>
      </c>
      <c r="F173" s="348">
        <v>7</v>
      </c>
      <c r="G173" s="348" t="s">
        <v>5912</v>
      </c>
      <c r="H173" s="348" t="s">
        <v>5901</v>
      </c>
      <c r="I173" s="348" t="s">
        <v>6233</v>
      </c>
      <c r="J173" s="284" t="s">
        <v>4631</v>
      </c>
      <c r="K173" s="300" t="s">
        <v>4383</v>
      </c>
      <c r="L173" s="309" t="s">
        <v>5791</v>
      </c>
      <c r="M173" s="300" t="s">
        <v>4507</v>
      </c>
      <c r="N173" s="309" t="s">
        <v>4701</v>
      </c>
      <c r="O173" s="17" t="s">
        <v>4506</v>
      </c>
      <c r="P173" s="309" t="s">
        <v>4420</v>
      </c>
      <c r="Q173" s="309" t="s">
        <v>4420</v>
      </c>
      <c r="R173" s="309" t="s">
        <v>4420</v>
      </c>
      <c r="S173" s="309" t="s">
        <v>5791</v>
      </c>
      <c r="T173" s="64" t="s">
        <v>4420</v>
      </c>
      <c r="U173" s="64" t="s">
        <v>5791</v>
      </c>
      <c r="V173" s="64" t="s">
        <v>4420</v>
      </c>
      <c r="W173" s="64" t="s">
        <v>5791</v>
      </c>
      <c r="X173" s="309" t="s">
        <v>4420</v>
      </c>
      <c r="Y173" s="309" t="s">
        <v>5791</v>
      </c>
      <c r="Z173" s="30" t="s">
        <v>4558</v>
      </c>
      <c r="AA173" s="87">
        <v>10</v>
      </c>
      <c r="AB173" s="224">
        <v>0</v>
      </c>
      <c r="AC173" s="18">
        <v>0</v>
      </c>
      <c r="AD173" s="300" t="s">
        <v>4341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0" t="s">
        <v>4206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0" t="s">
        <v>5806</v>
      </c>
      <c r="AX173" s="309" t="s">
        <v>4612</v>
      </c>
      <c r="AY173" s="16">
        <v>30.5</v>
      </c>
      <c r="AZ173" s="309">
        <v>20</v>
      </c>
      <c r="BA173" s="309">
        <f t="shared" ref="BA173:BA188" si="56">IF(AZ173=24,353,IF(AZ173=22,303,IF(AZ173=20,245,IF(AZ173=16,157,0))))</f>
        <v>245</v>
      </c>
      <c r="BB173" s="16">
        <v>62</v>
      </c>
      <c r="BC173" s="16">
        <f t="shared" ref="BC173:BC185" si="57">BB173</f>
        <v>62</v>
      </c>
      <c r="BD173" s="16">
        <v>0</v>
      </c>
      <c r="BE173" s="16">
        <v>70</v>
      </c>
      <c r="BF173" s="16">
        <f t="shared" ref="BF173:BF182" si="58">AT173-BB173-BC173-BD173</f>
        <v>156</v>
      </c>
      <c r="BG173" s="22" t="s">
        <v>4470</v>
      </c>
      <c r="BH173" s="309" t="s">
        <v>6204</v>
      </c>
      <c r="BI173" s="309" t="s">
        <v>6204</v>
      </c>
      <c r="BJ173" s="309">
        <v>2</v>
      </c>
      <c r="BK173" s="309">
        <v>4</v>
      </c>
      <c r="BL173" s="194" t="s">
        <v>5791</v>
      </c>
      <c r="BM173" s="195" t="s">
        <v>5791</v>
      </c>
      <c r="BN173" s="195" t="s">
        <v>5791</v>
      </c>
      <c r="BO173" s="195" t="s">
        <v>5791</v>
      </c>
      <c r="BP173" s="195" t="s">
        <v>5791</v>
      </c>
      <c r="BQ173" s="195" t="s">
        <v>5791</v>
      </c>
      <c r="BR173" s="195" t="s">
        <v>5791</v>
      </c>
      <c r="BS173" s="195" t="s">
        <v>5791</v>
      </c>
      <c r="BT173" s="194" t="s">
        <v>5791</v>
      </c>
      <c r="BU173" s="195" t="s">
        <v>5791</v>
      </c>
      <c r="BV173" s="195" t="s">
        <v>5791</v>
      </c>
      <c r="BW173" s="195" t="s">
        <v>5791</v>
      </c>
      <c r="BX173" s="195" t="s">
        <v>5791</v>
      </c>
      <c r="BY173" s="195" t="s">
        <v>5791</v>
      </c>
      <c r="BZ173" s="213" t="s">
        <v>5791</v>
      </c>
      <c r="CA173" s="195" t="s">
        <v>5791</v>
      </c>
      <c r="CB173" s="195" t="s">
        <v>5791</v>
      </c>
      <c r="CC173" s="195" t="s">
        <v>5791</v>
      </c>
      <c r="CD173" s="195" t="s">
        <v>5791</v>
      </c>
      <c r="CE173" s="195" t="s">
        <v>5791</v>
      </c>
      <c r="CF173" s="213" t="s">
        <v>5791</v>
      </c>
      <c r="CG173" s="309" t="s">
        <v>5664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9" t="s">
        <v>5664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9" t="s">
        <v>5664</v>
      </c>
      <c r="CT173" s="64">
        <v>275</v>
      </c>
      <c r="CU173" s="309">
        <v>278</v>
      </c>
      <c r="CV173" s="64">
        <v>410</v>
      </c>
      <c r="CW173" s="309">
        <v>448</v>
      </c>
      <c r="CX173" s="80">
        <v>199000</v>
      </c>
      <c r="CY173" s="198" t="s">
        <v>5791</v>
      </c>
      <c r="CZ173" s="199" t="s">
        <v>5791</v>
      </c>
      <c r="DA173" s="199" t="s">
        <v>5791</v>
      </c>
      <c r="DB173" s="200" t="s">
        <v>5791</v>
      </c>
      <c r="DC173" s="198" t="s">
        <v>5791</v>
      </c>
      <c r="DD173" s="199" t="s">
        <v>5791</v>
      </c>
      <c r="DE173" s="200" t="s">
        <v>5791</v>
      </c>
      <c r="DF173" s="273" t="s">
        <v>5791</v>
      </c>
      <c r="DG173" s="309">
        <v>8.8000000000000007</v>
      </c>
      <c r="DH173" s="309">
        <v>640</v>
      </c>
      <c r="DI173" s="30">
        <v>730</v>
      </c>
      <c r="DJ173" s="309">
        <v>800</v>
      </c>
      <c r="DK173" s="32">
        <v>940</v>
      </c>
      <c r="DL173" s="75">
        <v>200000</v>
      </c>
      <c r="DM173" s="42" t="s">
        <v>5831</v>
      </c>
      <c r="DN173" s="309" t="s">
        <v>4435</v>
      </c>
      <c r="DO173" s="306" t="s">
        <v>4565</v>
      </c>
    </row>
    <row r="174" spans="1:119">
      <c r="A174" s="301">
        <v>169</v>
      </c>
      <c r="B174" s="349"/>
      <c r="C174" s="349"/>
      <c r="D174" s="360"/>
      <c r="E174" s="360"/>
      <c r="F174" s="349"/>
      <c r="G174" s="349"/>
      <c r="H174" s="349"/>
      <c r="I174" s="349"/>
      <c r="J174" s="286" t="s">
        <v>4625</v>
      </c>
      <c r="K174" s="301" t="s">
        <v>4383</v>
      </c>
      <c r="L174" s="310" t="s">
        <v>5791</v>
      </c>
      <c r="M174" s="301" t="s">
        <v>4507</v>
      </c>
      <c r="N174" s="310" t="s">
        <v>4701</v>
      </c>
      <c r="O174" s="18" t="s">
        <v>4506</v>
      </c>
      <c r="P174" s="310" t="s">
        <v>4470</v>
      </c>
      <c r="Q174" s="310" t="s">
        <v>4420</v>
      </c>
      <c r="R174" s="310" t="s">
        <v>4420</v>
      </c>
      <c r="S174" s="310" t="s">
        <v>5791</v>
      </c>
      <c r="T174" s="59" t="s">
        <v>4420</v>
      </c>
      <c r="U174" s="59" t="s">
        <v>5791</v>
      </c>
      <c r="V174" s="59" t="s">
        <v>4420</v>
      </c>
      <c r="W174" s="59" t="s">
        <v>5791</v>
      </c>
      <c r="X174" s="310" t="s">
        <v>4420</v>
      </c>
      <c r="Y174" s="310" t="s">
        <v>5791</v>
      </c>
      <c r="Z174" s="32" t="s">
        <v>4558</v>
      </c>
      <c r="AA174" s="72">
        <v>10</v>
      </c>
      <c r="AB174" s="224">
        <v>0</v>
      </c>
      <c r="AC174" s="18">
        <v>0</v>
      </c>
      <c r="AD174" s="301" t="s">
        <v>4341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1" t="s">
        <v>4206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59">(AT174-AK174)/2</f>
        <v>11.400000000000006</v>
      </c>
      <c r="AV174" s="21">
        <f t="shared" si="54"/>
        <v>11.400000000000006</v>
      </c>
      <c r="AW174" s="301" t="s">
        <v>5806</v>
      </c>
      <c r="AX174" s="310" t="s">
        <v>4612</v>
      </c>
      <c r="AY174" s="21">
        <v>30.5</v>
      </c>
      <c r="AZ174" s="310">
        <v>20</v>
      </c>
      <c r="BA174" s="310">
        <f t="shared" si="56"/>
        <v>245</v>
      </c>
      <c r="BB174" s="21">
        <v>62</v>
      </c>
      <c r="BC174" s="21">
        <f t="shared" si="57"/>
        <v>62</v>
      </c>
      <c r="BD174" s="21">
        <v>0</v>
      </c>
      <c r="BE174" s="21">
        <v>70</v>
      </c>
      <c r="BF174" s="21">
        <f t="shared" si="58"/>
        <v>156</v>
      </c>
      <c r="BG174" s="15" t="s">
        <v>4470</v>
      </c>
      <c r="BH174" s="310" t="s">
        <v>6204</v>
      </c>
      <c r="BI174" s="310" t="s">
        <v>6204</v>
      </c>
      <c r="BJ174" s="310">
        <v>2</v>
      </c>
      <c r="BK174" s="310">
        <v>4</v>
      </c>
      <c r="BL174" s="301">
        <v>110</v>
      </c>
      <c r="BM174" s="310">
        <v>1000</v>
      </c>
      <c r="BN174" s="310" t="s">
        <v>6188</v>
      </c>
      <c r="BO174" s="310">
        <v>0.9</v>
      </c>
      <c r="BP174" s="310">
        <v>105</v>
      </c>
      <c r="BQ174" s="310">
        <v>1137</v>
      </c>
      <c r="BR174" s="310">
        <v>46</v>
      </c>
      <c r="BS174" s="310" t="s">
        <v>4590</v>
      </c>
      <c r="BT174" s="301" t="s">
        <v>5855</v>
      </c>
      <c r="BU174" s="310">
        <v>14</v>
      </c>
      <c r="BV174" s="310">
        <v>2</v>
      </c>
      <c r="BW174" s="310">
        <v>19</v>
      </c>
      <c r="BX174" s="310">
        <v>90</v>
      </c>
      <c r="BY174" s="310">
        <v>100</v>
      </c>
      <c r="BZ174" s="18">
        <v>225</v>
      </c>
      <c r="CA174" s="310" t="s">
        <v>4624</v>
      </c>
      <c r="CB174" s="310" t="s">
        <v>4623</v>
      </c>
      <c r="CC174" s="21">
        <v>0</v>
      </c>
      <c r="CD174" s="21">
        <f t="shared" ref="CD174:CD178" si="60">4*PI()*12^2/4+4*PI()*10^2/4</f>
        <v>766.54860747590953</v>
      </c>
      <c r="CE174" s="32">
        <v>50</v>
      </c>
      <c r="CF174" s="119">
        <v>1.2E-2</v>
      </c>
      <c r="CG174" s="310" t="s">
        <v>5664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10" t="s">
        <v>5664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10" t="s">
        <v>5664</v>
      </c>
      <c r="CT174" s="59">
        <v>275</v>
      </c>
      <c r="CU174" s="310">
        <v>278</v>
      </c>
      <c r="CV174" s="59">
        <v>410</v>
      </c>
      <c r="CW174" s="310">
        <v>448</v>
      </c>
      <c r="CX174" s="68">
        <v>199000</v>
      </c>
      <c r="CY174" s="301" t="s">
        <v>5795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5">
        <v>280</v>
      </c>
      <c r="DG174" s="310">
        <v>8.8000000000000007</v>
      </c>
      <c r="DH174" s="310">
        <v>640</v>
      </c>
      <c r="DI174" s="32">
        <v>730</v>
      </c>
      <c r="DJ174" s="310">
        <v>800</v>
      </c>
      <c r="DK174" s="32">
        <v>940</v>
      </c>
      <c r="DL174" s="60">
        <v>200000</v>
      </c>
      <c r="DM174" s="40" t="s">
        <v>4757</v>
      </c>
      <c r="DN174" s="310" t="s">
        <v>4435</v>
      </c>
      <c r="DO174" s="306" t="s">
        <v>4565</v>
      </c>
    </row>
    <row r="175" spans="1:119">
      <c r="A175" s="301">
        <v>170</v>
      </c>
      <c r="B175" s="349"/>
      <c r="C175" s="349"/>
      <c r="D175" s="360"/>
      <c r="E175" s="360"/>
      <c r="F175" s="349"/>
      <c r="G175" s="349"/>
      <c r="H175" s="349"/>
      <c r="I175" s="349"/>
      <c r="J175" s="286" t="s">
        <v>4626</v>
      </c>
      <c r="K175" s="301" t="s">
        <v>4383</v>
      </c>
      <c r="L175" s="310" t="s">
        <v>5791</v>
      </c>
      <c r="M175" s="301" t="s">
        <v>4507</v>
      </c>
      <c r="N175" s="310" t="s">
        <v>4701</v>
      </c>
      <c r="O175" s="18" t="s">
        <v>4506</v>
      </c>
      <c r="P175" s="310" t="s">
        <v>4470</v>
      </c>
      <c r="Q175" s="310" t="s">
        <v>4420</v>
      </c>
      <c r="R175" s="310" t="s">
        <v>4420</v>
      </c>
      <c r="S175" s="310" t="s">
        <v>5791</v>
      </c>
      <c r="T175" s="59" t="s">
        <v>4420</v>
      </c>
      <c r="U175" s="59" t="s">
        <v>5791</v>
      </c>
      <c r="V175" s="59" t="s">
        <v>4420</v>
      </c>
      <c r="W175" s="59" t="s">
        <v>5791</v>
      </c>
      <c r="X175" s="310" t="s">
        <v>4420</v>
      </c>
      <c r="Y175" s="310" t="s">
        <v>5791</v>
      </c>
      <c r="Z175" s="32" t="s">
        <v>4558</v>
      </c>
      <c r="AA175" s="72">
        <v>10</v>
      </c>
      <c r="AB175" s="224">
        <v>0</v>
      </c>
      <c r="AC175" s="18">
        <v>0</v>
      </c>
      <c r="AD175" s="301" t="s">
        <v>4341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1" t="s">
        <v>4206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59"/>
        <v>11.400000000000006</v>
      </c>
      <c r="AV175" s="21">
        <f t="shared" si="54"/>
        <v>11.400000000000006</v>
      </c>
      <c r="AW175" s="301" t="s">
        <v>5806</v>
      </c>
      <c r="AX175" s="310" t="s">
        <v>4612</v>
      </c>
      <c r="AY175" s="21">
        <v>30.5</v>
      </c>
      <c r="AZ175" s="310">
        <v>20</v>
      </c>
      <c r="BA175" s="310">
        <f t="shared" si="56"/>
        <v>245</v>
      </c>
      <c r="BB175" s="21">
        <v>62</v>
      </c>
      <c r="BC175" s="21">
        <f t="shared" si="57"/>
        <v>62</v>
      </c>
      <c r="BD175" s="21">
        <v>0</v>
      </c>
      <c r="BE175" s="21">
        <v>70</v>
      </c>
      <c r="BF175" s="21">
        <f t="shared" si="58"/>
        <v>156</v>
      </c>
      <c r="BG175" s="15" t="s">
        <v>4470</v>
      </c>
      <c r="BH175" s="310" t="s">
        <v>6204</v>
      </c>
      <c r="BI175" s="310" t="s">
        <v>6204</v>
      </c>
      <c r="BJ175" s="310">
        <v>2</v>
      </c>
      <c r="BK175" s="310">
        <v>4</v>
      </c>
      <c r="BL175" s="301">
        <v>110</v>
      </c>
      <c r="BM175" s="310">
        <v>1000</v>
      </c>
      <c r="BN175" s="310" t="s">
        <v>6188</v>
      </c>
      <c r="BO175" s="310">
        <v>0.9</v>
      </c>
      <c r="BP175" s="310">
        <v>105</v>
      </c>
      <c r="BQ175" s="310">
        <v>1137</v>
      </c>
      <c r="BR175" s="310">
        <v>46</v>
      </c>
      <c r="BS175" s="310" t="s">
        <v>4590</v>
      </c>
      <c r="BT175" s="301" t="s">
        <v>5855</v>
      </c>
      <c r="BU175" s="310">
        <v>14</v>
      </c>
      <c r="BV175" s="310">
        <v>2</v>
      </c>
      <c r="BW175" s="310">
        <v>19</v>
      </c>
      <c r="BX175" s="310">
        <v>90</v>
      </c>
      <c r="BY175" s="310">
        <v>100</v>
      </c>
      <c r="BZ175" s="18">
        <v>225</v>
      </c>
      <c r="CA175" s="310" t="s">
        <v>4624</v>
      </c>
      <c r="CB175" s="310" t="s">
        <v>4623</v>
      </c>
      <c r="CC175" s="21">
        <v>0</v>
      </c>
      <c r="CD175" s="21">
        <f t="shared" si="60"/>
        <v>766.54860747590953</v>
      </c>
      <c r="CE175" s="32">
        <v>50</v>
      </c>
      <c r="CF175" s="119">
        <v>1.2E-2</v>
      </c>
      <c r="CG175" s="310" t="s">
        <v>5664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10" t="s">
        <v>5664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10" t="s">
        <v>5664</v>
      </c>
      <c r="CT175" s="59">
        <v>275</v>
      </c>
      <c r="CU175" s="310">
        <v>278</v>
      </c>
      <c r="CV175" s="59">
        <v>410</v>
      </c>
      <c r="CW175" s="310">
        <v>448</v>
      </c>
      <c r="CX175" s="68">
        <v>199000</v>
      </c>
      <c r="CY175" s="301" t="s">
        <v>5795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5">
        <v>280</v>
      </c>
      <c r="DG175" s="310">
        <v>8.8000000000000007</v>
      </c>
      <c r="DH175" s="310">
        <v>640</v>
      </c>
      <c r="DI175" s="32">
        <v>730</v>
      </c>
      <c r="DJ175" s="310">
        <v>800</v>
      </c>
      <c r="DK175" s="32">
        <v>940</v>
      </c>
      <c r="DL175" s="60">
        <v>200000</v>
      </c>
      <c r="DM175" s="40" t="s">
        <v>6073</v>
      </c>
      <c r="DN175" s="310" t="s">
        <v>4435</v>
      </c>
      <c r="DO175" s="306" t="s">
        <v>4565</v>
      </c>
    </row>
    <row r="176" spans="1:119">
      <c r="A176" s="301">
        <v>171</v>
      </c>
      <c r="B176" s="349"/>
      <c r="C176" s="349"/>
      <c r="D176" s="360"/>
      <c r="E176" s="360"/>
      <c r="F176" s="349"/>
      <c r="G176" s="349"/>
      <c r="H176" s="349"/>
      <c r="I176" s="349"/>
      <c r="J176" s="286" t="s">
        <v>4627</v>
      </c>
      <c r="K176" s="301" t="s">
        <v>4383</v>
      </c>
      <c r="L176" s="310" t="s">
        <v>5791</v>
      </c>
      <c r="M176" s="301" t="s">
        <v>4507</v>
      </c>
      <c r="N176" s="310" t="s">
        <v>4701</v>
      </c>
      <c r="O176" s="18" t="s">
        <v>4506</v>
      </c>
      <c r="P176" s="310" t="s">
        <v>4470</v>
      </c>
      <c r="Q176" s="310" t="s">
        <v>4420</v>
      </c>
      <c r="R176" s="310" t="s">
        <v>4420</v>
      </c>
      <c r="S176" s="310" t="s">
        <v>5791</v>
      </c>
      <c r="T176" s="59" t="s">
        <v>4420</v>
      </c>
      <c r="U176" s="59" t="s">
        <v>5791</v>
      </c>
      <c r="V176" s="59" t="s">
        <v>4420</v>
      </c>
      <c r="W176" s="59" t="s">
        <v>5791</v>
      </c>
      <c r="X176" s="310" t="s">
        <v>4420</v>
      </c>
      <c r="Y176" s="310" t="s">
        <v>5791</v>
      </c>
      <c r="Z176" s="32" t="s">
        <v>4558</v>
      </c>
      <c r="AA176" s="72">
        <v>10</v>
      </c>
      <c r="AB176" s="224">
        <v>0</v>
      </c>
      <c r="AC176" s="18">
        <v>0</v>
      </c>
      <c r="AD176" s="301" t="s">
        <v>4341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1" t="s">
        <v>4206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59"/>
        <v>11.400000000000006</v>
      </c>
      <c r="AV176" s="21">
        <f t="shared" si="54"/>
        <v>11.400000000000006</v>
      </c>
      <c r="AW176" s="301" t="s">
        <v>5806</v>
      </c>
      <c r="AX176" s="310" t="s">
        <v>4612</v>
      </c>
      <c r="AY176" s="21">
        <v>30.5</v>
      </c>
      <c r="AZ176" s="310">
        <v>20</v>
      </c>
      <c r="BA176" s="310">
        <f t="shared" si="56"/>
        <v>245</v>
      </c>
      <c r="BB176" s="21">
        <v>62</v>
      </c>
      <c r="BC176" s="21">
        <f t="shared" si="57"/>
        <v>62</v>
      </c>
      <c r="BD176" s="21">
        <v>0</v>
      </c>
      <c r="BE176" s="21">
        <v>70</v>
      </c>
      <c r="BF176" s="21">
        <f t="shared" si="58"/>
        <v>156</v>
      </c>
      <c r="BG176" s="15" t="s">
        <v>4470</v>
      </c>
      <c r="BH176" s="310" t="s">
        <v>6204</v>
      </c>
      <c r="BI176" s="310" t="s">
        <v>6204</v>
      </c>
      <c r="BJ176" s="310">
        <v>2</v>
      </c>
      <c r="BK176" s="310">
        <v>4</v>
      </c>
      <c r="BL176" s="301">
        <v>110</v>
      </c>
      <c r="BM176" s="310">
        <v>1000</v>
      </c>
      <c r="BN176" s="310" t="s">
        <v>6188</v>
      </c>
      <c r="BO176" s="310">
        <v>0.9</v>
      </c>
      <c r="BP176" s="310">
        <v>105</v>
      </c>
      <c r="BQ176" s="310">
        <v>1137</v>
      </c>
      <c r="BR176" s="310">
        <v>46</v>
      </c>
      <c r="BS176" s="310" t="s">
        <v>4590</v>
      </c>
      <c r="BT176" s="301" t="s">
        <v>5855</v>
      </c>
      <c r="BU176" s="310">
        <v>14</v>
      </c>
      <c r="BV176" s="310">
        <v>2</v>
      </c>
      <c r="BW176" s="310">
        <v>19</v>
      </c>
      <c r="BX176" s="310">
        <v>90</v>
      </c>
      <c r="BY176" s="310">
        <v>100</v>
      </c>
      <c r="BZ176" s="18">
        <v>225</v>
      </c>
      <c r="CA176" s="310" t="s">
        <v>4624</v>
      </c>
      <c r="CB176" s="310" t="s">
        <v>4623</v>
      </c>
      <c r="CC176" s="21">
        <v>0</v>
      </c>
      <c r="CD176" s="21">
        <f t="shared" si="60"/>
        <v>766.54860747590953</v>
      </c>
      <c r="CE176" s="32">
        <v>50</v>
      </c>
      <c r="CF176" s="119">
        <v>1.2E-2</v>
      </c>
      <c r="CG176" s="310" t="s">
        <v>5664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10" t="s">
        <v>5664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10" t="s">
        <v>5664</v>
      </c>
      <c r="CT176" s="59">
        <v>275</v>
      </c>
      <c r="CU176" s="310">
        <v>278</v>
      </c>
      <c r="CV176" s="59">
        <v>410</v>
      </c>
      <c r="CW176" s="310">
        <v>448</v>
      </c>
      <c r="CX176" s="68">
        <v>199000</v>
      </c>
      <c r="CY176" s="301" t="s">
        <v>5795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5">
        <v>280</v>
      </c>
      <c r="DG176" s="310">
        <v>8.8000000000000007</v>
      </c>
      <c r="DH176" s="310">
        <v>640</v>
      </c>
      <c r="DI176" s="32">
        <v>730</v>
      </c>
      <c r="DJ176" s="310">
        <v>800</v>
      </c>
      <c r="DK176" s="32">
        <v>940</v>
      </c>
      <c r="DL176" s="60">
        <v>200000</v>
      </c>
      <c r="DM176" s="40" t="s">
        <v>4757</v>
      </c>
      <c r="DN176" s="310" t="s">
        <v>4435</v>
      </c>
      <c r="DO176" s="306" t="s">
        <v>4565</v>
      </c>
    </row>
    <row r="177" spans="1:119">
      <c r="A177" s="301">
        <v>172</v>
      </c>
      <c r="B177" s="349"/>
      <c r="C177" s="349"/>
      <c r="D177" s="360"/>
      <c r="E177" s="360"/>
      <c r="F177" s="349"/>
      <c r="G177" s="349"/>
      <c r="H177" s="349"/>
      <c r="I177" s="349"/>
      <c r="J177" s="286" t="s">
        <v>4628</v>
      </c>
      <c r="K177" s="301" t="s">
        <v>4383</v>
      </c>
      <c r="L177" s="310" t="s">
        <v>5791</v>
      </c>
      <c r="M177" s="301" t="s">
        <v>4507</v>
      </c>
      <c r="N177" s="310" t="s">
        <v>4701</v>
      </c>
      <c r="O177" s="18" t="s">
        <v>4506</v>
      </c>
      <c r="P177" s="310" t="s">
        <v>4470</v>
      </c>
      <c r="Q177" s="310" t="s">
        <v>4420</v>
      </c>
      <c r="R177" s="310" t="s">
        <v>4420</v>
      </c>
      <c r="S177" s="310" t="s">
        <v>5791</v>
      </c>
      <c r="T177" s="59" t="s">
        <v>4420</v>
      </c>
      <c r="U177" s="59" t="s">
        <v>5791</v>
      </c>
      <c r="V177" s="59" t="s">
        <v>4420</v>
      </c>
      <c r="W177" s="59" t="s">
        <v>5791</v>
      </c>
      <c r="X177" s="310" t="s">
        <v>4420</v>
      </c>
      <c r="Y177" s="310" t="s">
        <v>5791</v>
      </c>
      <c r="Z177" s="32" t="s">
        <v>4558</v>
      </c>
      <c r="AA177" s="72">
        <v>10</v>
      </c>
      <c r="AB177" s="224">
        <v>0</v>
      </c>
      <c r="AC177" s="18">
        <v>0</v>
      </c>
      <c r="AD177" s="301" t="s">
        <v>4341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1" t="s">
        <v>4206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59"/>
        <v>11.400000000000006</v>
      </c>
      <c r="AV177" s="21">
        <f t="shared" si="54"/>
        <v>11.400000000000006</v>
      </c>
      <c r="AW177" s="301" t="s">
        <v>5806</v>
      </c>
      <c r="AX177" s="310" t="s">
        <v>4612</v>
      </c>
      <c r="AY177" s="21">
        <v>30.5</v>
      </c>
      <c r="AZ177" s="310">
        <v>20</v>
      </c>
      <c r="BA177" s="310">
        <f t="shared" si="56"/>
        <v>245</v>
      </c>
      <c r="BB177" s="21">
        <v>63</v>
      </c>
      <c r="BC177" s="21">
        <f t="shared" si="57"/>
        <v>63</v>
      </c>
      <c r="BD177" s="21">
        <v>0</v>
      </c>
      <c r="BE177" s="21">
        <v>70</v>
      </c>
      <c r="BF177" s="21">
        <f t="shared" si="58"/>
        <v>154</v>
      </c>
      <c r="BG177" s="15" t="s">
        <v>4470</v>
      </c>
      <c r="BH177" s="310" t="s">
        <v>6204</v>
      </c>
      <c r="BI177" s="310" t="s">
        <v>6204</v>
      </c>
      <c r="BJ177" s="310">
        <v>2</v>
      </c>
      <c r="BK177" s="310">
        <v>4</v>
      </c>
      <c r="BL177" s="301">
        <v>110</v>
      </c>
      <c r="BM177" s="310">
        <v>1000</v>
      </c>
      <c r="BN177" s="310" t="s">
        <v>6188</v>
      </c>
      <c r="BO177" s="310">
        <v>0.9</v>
      </c>
      <c r="BP177" s="310">
        <v>105</v>
      </c>
      <c r="BQ177" s="310">
        <v>1137</v>
      </c>
      <c r="BR177" s="310">
        <v>46</v>
      </c>
      <c r="BS177" s="310" t="s">
        <v>4590</v>
      </c>
      <c r="BT177" s="301" t="s">
        <v>5855</v>
      </c>
      <c r="BU177" s="310">
        <v>14</v>
      </c>
      <c r="BV177" s="310">
        <v>2</v>
      </c>
      <c r="BW177" s="310">
        <v>19</v>
      </c>
      <c r="BX177" s="310">
        <v>90</v>
      </c>
      <c r="BY177" s="310">
        <v>100</v>
      </c>
      <c r="BZ177" s="18">
        <v>225</v>
      </c>
      <c r="CA177" s="310" t="s">
        <v>4624</v>
      </c>
      <c r="CB177" s="310" t="s">
        <v>4623</v>
      </c>
      <c r="CC177" s="21">
        <v>0</v>
      </c>
      <c r="CD177" s="21">
        <f t="shared" si="60"/>
        <v>766.54860747590953</v>
      </c>
      <c r="CE177" s="32">
        <v>50</v>
      </c>
      <c r="CF177" s="119">
        <v>1.2E-2</v>
      </c>
      <c r="CG177" s="310" t="s">
        <v>5664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10" t="s">
        <v>5664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10" t="s">
        <v>5664</v>
      </c>
      <c r="CT177" s="59">
        <v>275</v>
      </c>
      <c r="CU177" s="310">
        <v>278</v>
      </c>
      <c r="CV177" s="59">
        <v>410</v>
      </c>
      <c r="CW177" s="310">
        <v>448</v>
      </c>
      <c r="CX177" s="68">
        <v>199000</v>
      </c>
      <c r="CY177" s="301" t="s">
        <v>5795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5">
        <v>280</v>
      </c>
      <c r="DG177" s="310">
        <v>8.8000000000000007</v>
      </c>
      <c r="DH177" s="310">
        <v>640</v>
      </c>
      <c r="DI177" s="32">
        <v>730</v>
      </c>
      <c r="DJ177" s="310">
        <v>800</v>
      </c>
      <c r="DK177" s="32">
        <v>940</v>
      </c>
      <c r="DL177" s="60">
        <v>200000</v>
      </c>
      <c r="DM177" s="40" t="s">
        <v>4757</v>
      </c>
      <c r="DN177" s="310" t="s">
        <v>4435</v>
      </c>
      <c r="DO177" s="306" t="s">
        <v>4565</v>
      </c>
    </row>
    <row r="178" spans="1:119">
      <c r="A178" s="301">
        <v>173</v>
      </c>
      <c r="B178" s="349"/>
      <c r="C178" s="349"/>
      <c r="D178" s="360"/>
      <c r="E178" s="360"/>
      <c r="F178" s="349"/>
      <c r="G178" s="349"/>
      <c r="H178" s="349"/>
      <c r="I178" s="349"/>
      <c r="J178" s="286" t="s">
        <v>4629</v>
      </c>
      <c r="K178" s="301" t="s">
        <v>4383</v>
      </c>
      <c r="L178" s="310" t="s">
        <v>5791</v>
      </c>
      <c r="M178" s="301" t="s">
        <v>4507</v>
      </c>
      <c r="N178" s="310" t="s">
        <v>4701</v>
      </c>
      <c r="O178" s="18" t="s">
        <v>4506</v>
      </c>
      <c r="P178" s="310" t="s">
        <v>4470</v>
      </c>
      <c r="Q178" s="310" t="s">
        <v>4420</v>
      </c>
      <c r="R178" s="310" t="s">
        <v>4420</v>
      </c>
      <c r="S178" s="310" t="s">
        <v>5791</v>
      </c>
      <c r="T178" s="59" t="s">
        <v>4420</v>
      </c>
      <c r="U178" s="59" t="s">
        <v>5791</v>
      </c>
      <c r="V178" s="59" t="s">
        <v>4420</v>
      </c>
      <c r="W178" s="59" t="s">
        <v>5791</v>
      </c>
      <c r="X178" s="310" t="s">
        <v>4420</v>
      </c>
      <c r="Y178" s="310" t="s">
        <v>5791</v>
      </c>
      <c r="Z178" s="32" t="s">
        <v>4558</v>
      </c>
      <c r="AA178" s="72">
        <v>10</v>
      </c>
      <c r="AB178" s="224">
        <v>0</v>
      </c>
      <c r="AC178" s="18">
        <v>0</v>
      </c>
      <c r="AD178" s="301" t="s">
        <v>4341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1" t="s">
        <v>4206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59"/>
        <v>11.400000000000006</v>
      </c>
      <c r="AV178" s="21">
        <f t="shared" si="54"/>
        <v>11.400000000000006</v>
      </c>
      <c r="AW178" s="301" t="s">
        <v>5806</v>
      </c>
      <c r="AX178" s="310" t="s">
        <v>4612</v>
      </c>
      <c r="AY178" s="21">
        <v>30.5</v>
      </c>
      <c r="AZ178" s="310">
        <v>20</v>
      </c>
      <c r="BA178" s="310">
        <f t="shared" si="56"/>
        <v>245</v>
      </c>
      <c r="BB178" s="21">
        <v>63</v>
      </c>
      <c r="BC178" s="21">
        <f t="shared" si="57"/>
        <v>63</v>
      </c>
      <c r="BD178" s="21">
        <v>0</v>
      </c>
      <c r="BE178" s="21">
        <v>70</v>
      </c>
      <c r="BF178" s="21">
        <f t="shared" si="58"/>
        <v>154</v>
      </c>
      <c r="BG178" s="15" t="s">
        <v>4470</v>
      </c>
      <c r="BH178" s="310" t="s">
        <v>6204</v>
      </c>
      <c r="BI178" s="310" t="s">
        <v>6204</v>
      </c>
      <c r="BJ178" s="310">
        <v>2</v>
      </c>
      <c r="BK178" s="310">
        <v>4</v>
      </c>
      <c r="BL178" s="301">
        <v>110</v>
      </c>
      <c r="BM178" s="310">
        <v>1000</v>
      </c>
      <c r="BN178" s="310" t="s">
        <v>6188</v>
      </c>
      <c r="BO178" s="310">
        <v>0.9</v>
      </c>
      <c r="BP178" s="310">
        <v>105</v>
      </c>
      <c r="BQ178" s="310">
        <v>1137</v>
      </c>
      <c r="BR178" s="310">
        <v>46</v>
      </c>
      <c r="BS178" s="310" t="s">
        <v>4590</v>
      </c>
      <c r="BT178" s="301" t="s">
        <v>5855</v>
      </c>
      <c r="BU178" s="310">
        <v>14</v>
      </c>
      <c r="BV178" s="310">
        <v>2</v>
      </c>
      <c r="BW178" s="310">
        <v>19</v>
      </c>
      <c r="BX178" s="310">
        <v>90</v>
      </c>
      <c r="BY178" s="310">
        <v>100</v>
      </c>
      <c r="BZ178" s="18">
        <v>225</v>
      </c>
      <c r="CA178" s="310" t="s">
        <v>4624</v>
      </c>
      <c r="CB178" s="310" t="s">
        <v>4623</v>
      </c>
      <c r="CC178" s="21">
        <v>0</v>
      </c>
      <c r="CD178" s="21">
        <f t="shared" si="60"/>
        <v>766.54860747590953</v>
      </c>
      <c r="CE178" s="32">
        <v>50</v>
      </c>
      <c r="CF178" s="119">
        <v>1.2E-2</v>
      </c>
      <c r="CG178" s="310" t="s">
        <v>5664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10" t="s">
        <v>5664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10" t="s">
        <v>5664</v>
      </c>
      <c r="CT178" s="59">
        <v>275</v>
      </c>
      <c r="CU178" s="310">
        <v>278</v>
      </c>
      <c r="CV178" s="59">
        <v>410</v>
      </c>
      <c r="CW178" s="310">
        <v>448</v>
      </c>
      <c r="CX178" s="68">
        <v>199000</v>
      </c>
      <c r="CY178" s="301" t="s">
        <v>5795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5">
        <v>280</v>
      </c>
      <c r="DG178" s="310">
        <v>8.8000000000000007</v>
      </c>
      <c r="DH178" s="310">
        <v>640</v>
      </c>
      <c r="DI178" s="32">
        <v>730</v>
      </c>
      <c r="DJ178" s="310">
        <v>800</v>
      </c>
      <c r="DK178" s="32">
        <v>940</v>
      </c>
      <c r="DL178" s="60">
        <v>200000</v>
      </c>
      <c r="DM178" s="40" t="s">
        <v>6065</v>
      </c>
      <c r="DN178" s="310" t="s">
        <v>4435</v>
      </c>
      <c r="DO178" s="306" t="s">
        <v>4565</v>
      </c>
    </row>
    <row r="179" spans="1:119" ht="15.6" customHeight="1" thickBot="1">
      <c r="A179" s="308">
        <v>174</v>
      </c>
      <c r="B179" s="350"/>
      <c r="C179" s="350"/>
      <c r="D179" s="372"/>
      <c r="E179" s="372"/>
      <c r="F179" s="350"/>
      <c r="G179" s="350"/>
      <c r="H179" s="350"/>
      <c r="I179" s="350"/>
      <c r="J179" s="285" t="s">
        <v>4630</v>
      </c>
      <c r="K179" s="308" t="s">
        <v>4383</v>
      </c>
      <c r="L179" s="311" t="s">
        <v>5791</v>
      </c>
      <c r="M179" s="308" t="s">
        <v>4507</v>
      </c>
      <c r="N179" s="311" t="s">
        <v>4701</v>
      </c>
      <c r="O179" s="14" t="s">
        <v>4506</v>
      </c>
      <c r="P179" s="311" t="s">
        <v>4470</v>
      </c>
      <c r="Q179" s="311" t="s">
        <v>4420</v>
      </c>
      <c r="R179" s="311" t="s">
        <v>4420</v>
      </c>
      <c r="S179" s="311" t="s">
        <v>5791</v>
      </c>
      <c r="T179" s="86" t="s">
        <v>4420</v>
      </c>
      <c r="U179" s="86" t="s">
        <v>5791</v>
      </c>
      <c r="V179" s="86" t="s">
        <v>4420</v>
      </c>
      <c r="W179" s="86" t="s">
        <v>5791</v>
      </c>
      <c r="X179" s="311" t="s">
        <v>4420</v>
      </c>
      <c r="Y179" s="311" t="s">
        <v>5791</v>
      </c>
      <c r="Z179" s="34" t="s">
        <v>4558</v>
      </c>
      <c r="AA179" s="117">
        <v>10</v>
      </c>
      <c r="AB179" s="224">
        <v>0</v>
      </c>
      <c r="AC179" s="18">
        <v>0</v>
      </c>
      <c r="AD179" s="308" t="s">
        <v>4341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8" t="s">
        <v>4206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59"/>
        <v>11.400000000000006</v>
      </c>
      <c r="AV179" s="23">
        <f t="shared" si="54"/>
        <v>11.400000000000006</v>
      </c>
      <c r="AW179" s="308" t="s">
        <v>5806</v>
      </c>
      <c r="AX179" s="311" t="s">
        <v>4612</v>
      </c>
      <c r="AY179" s="23">
        <v>30.5</v>
      </c>
      <c r="AZ179" s="311">
        <v>20</v>
      </c>
      <c r="BA179" s="311">
        <f t="shared" si="56"/>
        <v>245</v>
      </c>
      <c r="BB179" s="23">
        <v>63</v>
      </c>
      <c r="BC179" s="23">
        <f t="shared" si="57"/>
        <v>63</v>
      </c>
      <c r="BD179" s="23">
        <v>0</v>
      </c>
      <c r="BE179" s="23">
        <v>70</v>
      </c>
      <c r="BF179" s="23">
        <f t="shared" si="58"/>
        <v>154</v>
      </c>
      <c r="BG179" s="19" t="s">
        <v>4470</v>
      </c>
      <c r="BH179" s="311" t="s">
        <v>6204</v>
      </c>
      <c r="BI179" s="311" t="s">
        <v>6204</v>
      </c>
      <c r="BJ179" s="311">
        <v>2</v>
      </c>
      <c r="BK179" s="311">
        <v>4</v>
      </c>
      <c r="BL179" s="308">
        <v>110</v>
      </c>
      <c r="BM179" s="311">
        <v>1000</v>
      </c>
      <c r="BN179" s="311" t="s">
        <v>6188</v>
      </c>
      <c r="BO179" s="311">
        <v>0.9</v>
      </c>
      <c r="BP179" s="311">
        <v>105</v>
      </c>
      <c r="BQ179" s="311">
        <v>1137</v>
      </c>
      <c r="BR179" s="311">
        <v>46</v>
      </c>
      <c r="BS179" s="311" t="s">
        <v>4590</v>
      </c>
      <c r="BT179" s="308" t="s">
        <v>5855</v>
      </c>
      <c r="BU179" s="311">
        <v>14</v>
      </c>
      <c r="BV179" s="311">
        <v>2</v>
      </c>
      <c r="BW179" s="311">
        <v>19</v>
      </c>
      <c r="BX179" s="311">
        <v>90</v>
      </c>
      <c r="BY179" s="311">
        <v>100</v>
      </c>
      <c r="BZ179" s="14">
        <v>225</v>
      </c>
      <c r="CA179" s="311" t="s">
        <v>4624</v>
      </c>
      <c r="CB179" s="311" t="s">
        <v>4623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11" t="s">
        <v>5664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11" t="s">
        <v>5664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11" t="s">
        <v>5664</v>
      </c>
      <c r="CT179" s="86">
        <v>275</v>
      </c>
      <c r="CU179" s="311">
        <v>278</v>
      </c>
      <c r="CV179" s="86">
        <v>410</v>
      </c>
      <c r="CW179" s="311">
        <v>448</v>
      </c>
      <c r="CX179" s="68">
        <v>199000</v>
      </c>
      <c r="CY179" s="308" t="s">
        <v>5795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6">
        <v>280</v>
      </c>
      <c r="DG179" s="311">
        <v>8.8000000000000007</v>
      </c>
      <c r="DH179" s="311">
        <v>640</v>
      </c>
      <c r="DI179" s="34">
        <v>730</v>
      </c>
      <c r="DJ179" s="311">
        <v>800</v>
      </c>
      <c r="DK179" s="32">
        <v>940</v>
      </c>
      <c r="DL179" s="76">
        <v>200000</v>
      </c>
      <c r="DM179" s="41" t="s">
        <v>6073</v>
      </c>
      <c r="DN179" s="311" t="s">
        <v>4435</v>
      </c>
      <c r="DO179" s="306" t="s">
        <v>4565</v>
      </c>
    </row>
    <row r="180" spans="1:119" ht="15.6" customHeight="1">
      <c r="A180" s="300">
        <v>175</v>
      </c>
      <c r="B180" s="348">
        <v>26</v>
      </c>
      <c r="C180" s="348">
        <v>1996</v>
      </c>
      <c r="D180" s="357" t="s">
        <v>5995</v>
      </c>
      <c r="E180" s="359" t="s">
        <v>4855</v>
      </c>
      <c r="F180" s="348">
        <v>6</v>
      </c>
      <c r="G180" s="368" t="s">
        <v>5913</v>
      </c>
      <c r="H180" s="368" t="s">
        <v>5899</v>
      </c>
      <c r="I180" s="368" t="s">
        <v>6234</v>
      </c>
      <c r="J180" s="284" t="s">
        <v>6325</v>
      </c>
      <c r="K180" s="300" t="s">
        <v>6320</v>
      </c>
      <c r="L180" s="309" t="s">
        <v>5791</v>
      </c>
      <c r="M180" s="300" t="s">
        <v>4507</v>
      </c>
      <c r="N180" s="309" t="s">
        <v>4700</v>
      </c>
      <c r="O180" s="17" t="s">
        <v>4506</v>
      </c>
      <c r="P180" s="309" t="s">
        <v>6317</v>
      </c>
      <c r="Q180" s="309" t="s">
        <v>4420</v>
      </c>
      <c r="R180" s="309" t="s">
        <v>6317</v>
      </c>
      <c r="S180" s="309" t="s">
        <v>5791</v>
      </c>
      <c r="T180" s="64" t="s">
        <v>4420</v>
      </c>
      <c r="U180" s="64" t="s">
        <v>5791</v>
      </c>
      <c r="V180" s="64" t="s">
        <v>4420</v>
      </c>
      <c r="W180" s="64" t="s">
        <v>5791</v>
      </c>
      <c r="X180" s="309" t="s">
        <v>4420</v>
      </c>
      <c r="Y180" s="309" t="s">
        <v>5791</v>
      </c>
      <c r="Z180" s="309" t="s">
        <v>4558</v>
      </c>
      <c r="AA180" s="17">
        <v>10</v>
      </c>
      <c r="AB180" s="225">
        <v>0</v>
      </c>
      <c r="AC180" s="17">
        <v>0</v>
      </c>
      <c r="AD180" s="300" t="s">
        <v>6326</v>
      </c>
      <c r="AE180" s="16">
        <f>INDEX('[2]Cross-Section Database'!$C$2:$V$2928,MATCH(AD180,'[2]Cross-Section Database'!$B$2:$B$2928,0),3)</f>
        <v>260.3</v>
      </c>
      <c r="AF180" s="16">
        <f>INDEX('[2]Cross-Section Database'!$C$2:$V$2928,MATCH(AD180,'[2]Cross-Section Database'!$B$2:$B$2928,0),4)</f>
        <v>256.3</v>
      </c>
      <c r="AG180" s="16">
        <f>INDEX('[2]Cross-Section Database'!$C$2:$V$2928,MATCH(AD180,'[2]Cross-Section Database'!$B$2:$B$2928,0),6)</f>
        <v>17.3</v>
      </c>
      <c r="AH180" s="16">
        <f>INDEX('[2]Cross-Section Database'!$C$2:$V$2928,MATCH(AD180,'[2]Cross-Section Database'!$B$2:$B$2928,0),5)</f>
        <v>10.3</v>
      </c>
      <c r="AI180" s="16">
        <v>1200</v>
      </c>
      <c r="AJ180" s="300" t="s">
        <v>6327</v>
      </c>
      <c r="AK180" s="16">
        <f>INDEX('[2]Cross-Section Database'!$C$2:$V$2928,MATCH(AJ180,'[2]Cross-Section Database'!$B$2:$B$2928,0),3)</f>
        <v>457</v>
      </c>
      <c r="AL180" s="16">
        <f>INDEX('[2]Cross-Section Database'!$C$2:$V$2928,MATCH(AJ180,'[2]Cross-Section Database'!$B$2:$B$2928,0),4)</f>
        <v>190.4</v>
      </c>
      <c r="AM180" s="16">
        <f>INDEX('[2]Cross-Section Database'!$C$2:$V$2928,MATCH(AJ180,'[2]Cross-Section Database'!$B$2:$B$2928,0),6)</f>
        <v>14.5</v>
      </c>
      <c r="AN180" s="16">
        <f>INDEX('[2]Cross-Section Database'!$C$2:$V$2928,MATCH(AJ180,'[2]Cross-Section Database'!$B$2:$B$2928,0),5)</f>
        <v>9</v>
      </c>
      <c r="AO180" s="16">
        <v>1200</v>
      </c>
      <c r="AP180" s="16">
        <f>INDEX('[2]Cross-Section Database'!$C$2:$V$3928,MATCH(AJ180,'[2]Cross-Section Database'!$B$2:$B$3928,0),11)</f>
        <v>333200000</v>
      </c>
      <c r="AQ180" s="26">
        <f>INDEX('[2]Cross-Section Database'!$C$2:$V$3928,MATCH(AJ180,'[2]Cross-Section Database'!$B$2:$B$3928,0),12)</f>
        <v>1653000</v>
      </c>
      <c r="AR180" s="16">
        <v>12</v>
      </c>
      <c r="AS180" s="16">
        <v>200</v>
      </c>
      <c r="AT180" s="16">
        <v>510</v>
      </c>
      <c r="AU180" s="16">
        <f t="shared" ref="AU180:AU185" si="61">AV180</f>
        <v>26.5</v>
      </c>
      <c r="AV180" s="16">
        <f t="shared" si="54"/>
        <v>26.5</v>
      </c>
      <c r="AW180" s="300" t="s">
        <v>5806</v>
      </c>
      <c r="AX180" s="309" t="s">
        <v>4498</v>
      </c>
      <c r="AY180" s="309" t="s">
        <v>6129</v>
      </c>
      <c r="AZ180" s="309">
        <v>20</v>
      </c>
      <c r="BA180" s="309">
        <f t="shared" si="56"/>
        <v>245</v>
      </c>
      <c r="BB180" s="16">
        <v>87</v>
      </c>
      <c r="BC180" s="16">
        <f t="shared" si="57"/>
        <v>87</v>
      </c>
      <c r="BD180" s="16">
        <v>0</v>
      </c>
      <c r="BE180" s="16">
        <v>90</v>
      </c>
      <c r="BF180" s="16">
        <f t="shared" si="58"/>
        <v>336</v>
      </c>
      <c r="BG180" s="22" t="s">
        <v>6318</v>
      </c>
      <c r="BH180" s="309" t="s">
        <v>6204</v>
      </c>
      <c r="BI180" s="309" t="s">
        <v>6204</v>
      </c>
      <c r="BJ180" s="309">
        <v>2</v>
      </c>
      <c r="BK180" s="309">
        <v>4</v>
      </c>
      <c r="BL180" s="194" t="s">
        <v>5791</v>
      </c>
      <c r="BM180" s="195" t="s">
        <v>5791</v>
      </c>
      <c r="BN180" s="195" t="s">
        <v>5791</v>
      </c>
      <c r="BO180" s="195" t="s">
        <v>5791</v>
      </c>
      <c r="BP180" s="195" t="s">
        <v>5791</v>
      </c>
      <c r="BQ180" s="195" t="s">
        <v>5791</v>
      </c>
      <c r="BR180" s="195" t="s">
        <v>5791</v>
      </c>
      <c r="BS180" s="195" t="s">
        <v>5791</v>
      </c>
      <c r="BT180" s="194" t="s">
        <v>5791</v>
      </c>
      <c r="BU180" s="195" t="s">
        <v>5791</v>
      </c>
      <c r="BV180" s="195" t="s">
        <v>5791</v>
      </c>
      <c r="BW180" s="195" t="s">
        <v>5791</v>
      </c>
      <c r="BX180" s="195" t="s">
        <v>5791</v>
      </c>
      <c r="BY180" s="195" t="s">
        <v>5791</v>
      </c>
      <c r="BZ180" s="213" t="s">
        <v>5791</v>
      </c>
      <c r="CA180" s="195" t="s">
        <v>5791</v>
      </c>
      <c r="CB180" s="195" t="s">
        <v>5791</v>
      </c>
      <c r="CC180" s="195" t="s">
        <v>5791</v>
      </c>
      <c r="CD180" s="195" t="s">
        <v>5791</v>
      </c>
      <c r="CE180" s="195" t="s">
        <v>5791</v>
      </c>
      <c r="CF180" s="213" t="s">
        <v>5791</v>
      </c>
      <c r="CG180" s="309" t="s">
        <v>6319</v>
      </c>
      <c r="CH180" s="309">
        <v>275</v>
      </c>
      <c r="CI180" s="16">
        <v>327.5</v>
      </c>
      <c r="CJ180" s="309">
        <v>410</v>
      </c>
      <c r="CK180" s="16">
        <v>469.5</v>
      </c>
      <c r="CL180" s="80">
        <v>166000</v>
      </c>
      <c r="CM180" s="300" t="s">
        <v>6319</v>
      </c>
      <c r="CN180" s="309">
        <v>275</v>
      </c>
      <c r="CO180" s="31">
        <f t="shared" ref="CO180:CO185" si="62">CN180*1.3</f>
        <v>357.5</v>
      </c>
      <c r="CP180" s="64">
        <v>430</v>
      </c>
      <c r="CQ180" s="30">
        <f t="shared" ref="CQ180:CQ185" si="63">CP180*1.1</f>
        <v>473.00000000000006</v>
      </c>
      <c r="CR180" s="65">
        <v>200000</v>
      </c>
      <c r="CS180" s="300" t="s">
        <v>6319</v>
      </c>
      <c r="CT180" s="64">
        <v>275</v>
      </c>
      <c r="CU180" s="309">
        <v>326</v>
      </c>
      <c r="CV180" s="64">
        <v>410</v>
      </c>
      <c r="CW180" s="309">
        <v>475</v>
      </c>
      <c r="CX180" s="80">
        <v>157000</v>
      </c>
      <c r="CY180" s="198" t="s">
        <v>5791</v>
      </c>
      <c r="CZ180" s="199" t="s">
        <v>5791</v>
      </c>
      <c r="DA180" s="199" t="s">
        <v>5791</v>
      </c>
      <c r="DB180" s="200" t="s">
        <v>5791</v>
      </c>
      <c r="DC180" s="198" t="s">
        <v>5791</v>
      </c>
      <c r="DD180" s="199" t="s">
        <v>5791</v>
      </c>
      <c r="DE180" s="200" t="s">
        <v>5791</v>
      </c>
      <c r="DF180" s="273" t="s">
        <v>5791</v>
      </c>
      <c r="DG180" s="309">
        <v>8.8000000000000007</v>
      </c>
      <c r="DH180" s="309">
        <v>640</v>
      </c>
      <c r="DI180" s="30">
        <v>730</v>
      </c>
      <c r="DJ180" s="309">
        <v>800</v>
      </c>
      <c r="DK180" s="309">
        <v>882</v>
      </c>
      <c r="DL180" s="75">
        <v>200000</v>
      </c>
      <c r="DM180" s="28" t="s">
        <v>4758</v>
      </c>
      <c r="DN180" s="309" t="s">
        <v>4435</v>
      </c>
      <c r="DO180" s="305" t="s">
        <v>4565</v>
      </c>
    </row>
    <row r="181" spans="1:119">
      <c r="A181" s="301">
        <v>176</v>
      </c>
      <c r="B181" s="349"/>
      <c r="C181" s="349"/>
      <c r="D181" s="358"/>
      <c r="E181" s="360"/>
      <c r="F181" s="349"/>
      <c r="G181" s="369"/>
      <c r="H181" s="369"/>
      <c r="I181" s="369"/>
      <c r="J181" s="286" t="s">
        <v>6328</v>
      </c>
      <c r="K181" s="301" t="s">
        <v>4383</v>
      </c>
      <c r="L181" s="310" t="s">
        <v>5791</v>
      </c>
      <c r="M181" s="301" t="s">
        <v>4507</v>
      </c>
      <c r="N181" s="310" t="s">
        <v>4700</v>
      </c>
      <c r="O181" s="18" t="s">
        <v>4506</v>
      </c>
      <c r="P181" s="310" t="s">
        <v>6317</v>
      </c>
      <c r="Q181" s="310" t="s">
        <v>4420</v>
      </c>
      <c r="R181" s="310" t="s">
        <v>6317</v>
      </c>
      <c r="S181" s="310" t="s">
        <v>5791</v>
      </c>
      <c r="T181" s="59" t="s">
        <v>4420</v>
      </c>
      <c r="U181" s="59" t="s">
        <v>5791</v>
      </c>
      <c r="V181" s="59" t="s">
        <v>4420</v>
      </c>
      <c r="W181" s="59" t="s">
        <v>5791</v>
      </c>
      <c r="X181" s="310" t="s">
        <v>4420</v>
      </c>
      <c r="Y181" s="310" t="s">
        <v>5791</v>
      </c>
      <c r="Z181" s="310" t="s">
        <v>4558</v>
      </c>
      <c r="AA181" s="18">
        <v>10</v>
      </c>
      <c r="AB181" s="224">
        <v>0</v>
      </c>
      <c r="AC181" s="18">
        <v>0</v>
      </c>
      <c r="AD181" s="301" t="s">
        <v>6326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1" t="s">
        <v>6327</v>
      </c>
      <c r="AK181" s="21">
        <f>INDEX('[2]Cross-Section Database'!$C$2:$V$2928,MATCH(AJ181,'[2]Cross-Section Database'!$B$2:$B$2928,0),3)</f>
        <v>457</v>
      </c>
      <c r="AL181" s="21">
        <f>INDEX('[2]Cross-Section Database'!$C$2:$V$2928,MATCH(AJ181,'[2]Cross-Section Database'!$B$2:$B$2928,0),4)</f>
        <v>190.4</v>
      </c>
      <c r="AM181" s="21">
        <f>INDEX('[2]Cross-Section Database'!$C$2:$V$2928,MATCH(AJ181,'[2]Cross-Section Database'!$B$2:$B$2928,0),6)</f>
        <v>14.5</v>
      </c>
      <c r="AN181" s="21">
        <f>INDEX('[2]Cross-Section Database'!$C$2:$V$2928,MATCH(AJ181,'[2]Cross-Section Database'!$B$2:$B$2928,0),5)</f>
        <v>9</v>
      </c>
      <c r="AO181" s="21">
        <v>1200</v>
      </c>
      <c r="AP181" s="21">
        <f>INDEX('[2]Cross-Section Database'!$C$2:$V$3928,MATCH(AJ181,'[2]Cross-Section Database'!$B$2:$B$3928,0),11)</f>
        <v>333200000</v>
      </c>
      <c r="AQ181" s="24">
        <f>INDEX('[2]Cross-Section Database'!$C$2:$V$3928,MATCH(AJ181,'[2]Cross-Section Database'!$B$2:$B$3928,0),12)</f>
        <v>1653000</v>
      </c>
      <c r="AR181" s="21">
        <v>15</v>
      </c>
      <c r="AS181" s="21">
        <v>200</v>
      </c>
      <c r="AT181" s="21">
        <v>510</v>
      </c>
      <c r="AU181" s="21">
        <f t="shared" si="61"/>
        <v>26.5</v>
      </c>
      <c r="AV181" s="21">
        <f t="shared" si="54"/>
        <v>26.5</v>
      </c>
      <c r="AW181" s="301" t="s">
        <v>5806</v>
      </c>
      <c r="AX181" s="310" t="s">
        <v>4498</v>
      </c>
      <c r="AY181" s="310" t="s">
        <v>6129</v>
      </c>
      <c r="AZ181" s="310">
        <v>24</v>
      </c>
      <c r="BA181" s="310">
        <f t="shared" si="56"/>
        <v>353</v>
      </c>
      <c r="BB181" s="21">
        <v>87</v>
      </c>
      <c r="BC181" s="21">
        <f t="shared" si="57"/>
        <v>87</v>
      </c>
      <c r="BD181" s="21">
        <v>0</v>
      </c>
      <c r="BE181" s="21">
        <v>90</v>
      </c>
      <c r="BF181" s="21">
        <f t="shared" si="58"/>
        <v>336</v>
      </c>
      <c r="BG181" s="15" t="s">
        <v>6318</v>
      </c>
      <c r="BH181" s="310" t="s">
        <v>6204</v>
      </c>
      <c r="BI181" s="310" t="s">
        <v>6204</v>
      </c>
      <c r="BJ181" s="310">
        <v>2</v>
      </c>
      <c r="BK181" s="310">
        <v>4</v>
      </c>
      <c r="BL181" s="196" t="s">
        <v>5791</v>
      </c>
      <c r="BM181" s="197" t="s">
        <v>5791</v>
      </c>
      <c r="BN181" s="197" t="s">
        <v>5791</v>
      </c>
      <c r="BO181" s="197" t="s">
        <v>5791</v>
      </c>
      <c r="BP181" s="197" t="s">
        <v>5791</v>
      </c>
      <c r="BQ181" s="197" t="s">
        <v>5791</v>
      </c>
      <c r="BR181" s="197" t="s">
        <v>5791</v>
      </c>
      <c r="BS181" s="197" t="s">
        <v>5791</v>
      </c>
      <c r="BT181" s="196" t="s">
        <v>5791</v>
      </c>
      <c r="BU181" s="197" t="s">
        <v>5791</v>
      </c>
      <c r="BV181" s="197" t="s">
        <v>5791</v>
      </c>
      <c r="BW181" s="197" t="s">
        <v>5791</v>
      </c>
      <c r="BX181" s="197" t="s">
        <v>5791</v>
      </c>
      <c r="BY181" s="197" t="s">
        <v>5791</v>
      </c>
      <c r="BZ181" s="212" t="s">
        <v>5791</v>
      </c>
      <c r="CA181" s="197" t="s">
        <v>5791</v>
      </c>
      <c r="CB181" s="197" t="s">
        <v>5791</v>
      </c>
      <c r="CC181" s="197" t="s">
        <v>5791</v>
      </c>
      <c r="CD181" s="197" t="s">
        <v>5791</v>
      </c>
      <c r="CE181" s="197" t="s">
        <v>5791</v>
      </c>
      <c r="CF181" s="212" t="s">
        <v>5791</v>
      </c>
      <c r="CG181" s="310" t="s">
        <v>6319</v>
      </c>
      <c r="CH181" s="310">
        <v>275</v>
      </c>
      <c r="CI181" s="21">
        <v>327.5</v>
      </c>
      <c r="CJ181" s="310">
        <v>410</v>
      </c>
      <c r="CK181" s="21">
        <v>469.5</v>
      </c>
      <c r="CL181" s="68">
        <v>166000</v>
      </c>
      <c r="CM181" s="301" t="s">
        <v>6319</v>
      </c>
      <c r="CN181" s="310">
        <v>275</v>
      </c>
      <c r="CO181" s="33">
        <f t="shared" si="62"/>
        <v>357.5</v>
      </c>
      <c r="CP181" s="59">
        <v>430</v>
      </c>
      <c r="CQ181" s="32">
        <f t="shared" si="63"/>
        <v>473.00000000000006</v>
      </c>
      <c r="CR181" s="66">
        <v>200000</v>
      </c>
      <c r="CS181" s="301" t="s">
        <v>6319</v>
      </c>
      <c r="CT181" s="59">
        <v>275</v>
      </c>
      <c r="CU181" s="310">
        <v>307</v>
      </c>
      <c r="CV181" s="59">
        <v>410</v>
      </c>
      <c r="CW181" s="310">
        <v>461</v>
      </c>
      <c r="CX181" s="68">
        <v>150000</v>
      </c>
      <c r="CY181" s="201" t="s">
        <v>5791</v>
      </c>
      <c r="CZ181" s="202" t="s">
        <v>5791</v>
      </c>
      <c r="DA181" s="202" t="s">
        <v>5791</v>
      </c>
      <c r="DB181" s="203" t="s">
        <v>5791</v>
      </c>
      <c r="DC181" s="201" t="s">
        <v>5791</v>
      </c>
      <c r="DD181" s="202" t="s">
        <v>5791</v>
      </c>
      <c r="DE181" s="203" t="s">
        <v>5791</v>
      </c>
      <c r="DF181" s="274" t="s">
        <v>5791</v>
      </c>
      <c r="DG181" s="310">
        <v>8.8000000000000007</v>
      </c>
      <c r="DH181" s="310">
        <v>640</v>
      </c>
      <c r="DI181" s="32">
        <v>730</v>
      </c>
      <c r="DJ181" s="310">
        <v>800</v>
      </c>
      <c r="DK181" s="310">
        <v>949</v>
      </c>
      <c r="DL181" s="60">
        <v>200000</v>
      </c>
      <c r="DM181" s="40" t="s">
        <v>4758</v>
      </c>
      <c r="DN181" s="310" t="s">
        <v>4435</v>
      </c>
      <c r="DO181" s="306" t="s">
        <v>4565</v>
      </c>
    </row>
    <row r="182" spans="1:119">
      <c r="A182" s="301">
        <v>177</v>
      </c>
      <c r="B182" s="349"/>
      <c r="C182" s="349"/>
      <c r="D182" s="358"/>
      <c r="E182" s="360"/>
      <c r="F182" s="349"/>
      <c r="G182" s="369"/>
      <c r="H182" s="369"/>
      <c r="I182" s="369"/>
      <c r="J182" s="286" t="s">
        <v>0</v>
      </c>
      <c r="K182" s="301" t="s">
        <v>4383</v>
      </c>
      <c r="L182" s="310" t="s">
        <v>5791</v>
      </c>
      <c r="M182" s="301" t="s">
        <v>4507</v>
      </c>
      <c r="N182" s="310" t="s">
        <v>4700</v>
      </c>
      <c r="O182" s="18" t="s">
        <v>4506</v>
      </c>
      <c r="P182" s="310" t="s">
        <v>6317</v>
      </c>
      <c r="Q182" s="310" t="s">
        <v>4420</v>
      </c>
      <c r="R182" s="310" t="s">
        <v>6317</v>
      </c>
      <c r="S182" s="310" t="s">
        <v>5791</v>
      </c>
      <c r="T182" s="59" t="s">
        <v>4420</v>
      </c>
      <c r="U182" s="59" t="s">
        <v>5791</v>
      </c>
      <c r="V182" s="59" t="s">
        <v>4420</v>
      </c>
      <c r="W182" s="59" t="s">
        <v>5791</v>
      </c>
      <c r="X182" s="310" t="s">
        <v>4420</v>
      </c>
      <c r="Y182" s="310" t="s">
        <v>5791</v>
      </c>
      <c r="Z182" s="310" t="s">
        <v>4558</v>
      </c>
      <c r="AA182" s="18">
        <v>10</v>
      </c>
      <c r="AB182" s="224">
        <v>0</v>
      </c>
      <c r="AC182" s="18">
        <v>0</v>
      </c>
      <c r="AD182" s="301" t="s">
        <v>6329</v>
      </c>
      <c r="AE182" s="21">
        <f>INDEX('[2]Cross-Section Database'!$C$2:$V$2928,MATCH(AD182,'[2]Cross-Section Database'!$B$2:$B$2928,0),3)</f>
        <v>254.1</v>
      </c>
      <c r="AF182" s="21">
        <f>INDEX('[2]Cross-Section Database'!$C$2:$V$2928,MATCH(AD182,'[2]Cross-Section Database'!$B$2:$B$2928,0),4)</f>
        <v>254.6</v>
      </c>
      <c r="AG182" s="21">
        <f>INDEX('[2]Cross-Section Database'!$C$2:$V$2928,MATCH(AD182,'[2]Cross-Section Database'!$B$2:$B$2928,0),6)</f>
        <v>14.2</v>
      </c>
      <c r="AH182" s="21">
        <f>INDEX('[2]Cross-Section Database'!$C$2:$V$2928,MATCH(AD182,'[2]Cross-Section Database'!$B$2:$B$2928,0),5)</f>
        <v>8.6</v>
      </c>
      <c r="AI182" s="21">
        <v>1100</v>
      </c>
      <c r="AJ182" s="301" t="s">
        <v>6330</v>
      </c>
      <c r="AK182" s="21">
        <f>INDEX('[2]Cross-Section Database'!$C$2:$V$2928,MATCH(AJ182,'[2]Cross-Section Database'!$B$2:$B$2928,0),3)</f>
        <v>406.4</v>
      </c>
      <c r="AL182" s="21">
        <f>INDEX('[2]Cross-Section Database'!$C$2:$V$2928,MATCH(AJ182,'[2]Cross-Section Database'!$B$2:$B$2928,0),4)</f>
        <v>177.9</v>
      </c>
      <c r="AM182" s="21">
        <f>INDEX('[2]Cross-Section Database'!$C$2:$V$2928,MATCH(AJ182,'[2]Cross-Section Database'!$B$2:$B$2928,0),6)</f>
        <v>12.8</v>
      </c>
      <c r="AN182" s="21">
        <f>INDEX('[2]Cross-Section Database'!$C$2:$V$2928,MATCH(AJ182,'[2]Cross-Section Database'!$B$2:$B$2928,0),5)</f>
        <v>7.9</v>
      </c>
      <c r="AO182" s="21">
        <v>1200</v>
      </c>
      <c r="AP182" s="21">
        <f>INDEX('[2]Cross-Section Database'!$C$2:$V$3928,MATCH(AJ182,'[2]Cross-Section Database'!$B$2:$B$3928,0),11)</f>
        <v>216000000</v>
      </c>
      <c r="AQ182" s="24">
        <f>INDEX('[2]Cross-Section Database'!$C$2:$V$3928,MATCH(AJ182,'[2]Cross-Section Database'!$B$2:$B$3928,0),12)</f>
        <v>1199000</v>
      </c>
      <c r="AR182" s="21">
        <v>12</v>
      </c>
      <c r="AS182" s="21">
        <v>200</v>
      </c>
      <c r="AT182" s="21">
        <v>460</v>
      </c>
      <c r="AU182" s="21">
        <f t="shared" si="61"/>
        <v>26.800000000000011</v>
      </c>
      <c r="AV182" s="21">
        <f t="shared" si="54"/>
        <v>26.800000000000011</v>
      </c>
      <c r="AW182" s="301" t="s">
        <v>5806</v>
      </c>
      <c r="AX182" s="310" t="s">
        <v>4498</v>
      </c>
      <c r="AY182" s="310" t="s">
        <v>6129</v>
      </c>
      <c r="AZ182" s="310">
        <v>20</v>
      </c>
      <c r="BA182" s="310">
        <f t="shared" si="56"/>
        <v>245</v>
      </c>
      <c r="BB182" s="21">
        <v>87</v>
      </c>
      <c r="BC182" s="21">
        <f t="shared" si="57"/>
        <v>87</v>
      </c>
      <c r="BD182" s="21">
        <v>0</v>
      </c>
      <c r="BE182" s="21">
        <v>90</v>
      </c>
      <c r="BF182" s="21">
        <f t="shared" si="58"/>
        <v>286</v>
      </c>
      <c r="BG182" s="15" t="s">
        <v>6318</v>
      </c>
      <c r="BH182" s="310" t="s">
        <v>6204</v>
      </c>
      <c r="BI182" s="310" t="s">
        <v>6204</v>
      </c>
      <c r="BJ182" s="310">
        <v>2</v>
      </c>
      <c r="BK182" s="310">
        <v>4</v>
      </c>
      <c r="BL182" s="196" t="s">
        <v>5791</v>
      </c>
      <c r="BM182" s="197" t="s">
        <v>5791</v>
      </c>
      <c r="BN182" s="197" t="s">
        <v>5791</v>
      </c>
      <c r="BO182" s="197" t="s">
        <v>5791</v>
      </c>
      <c r="BP182" s="197" t="s">
        <v>5791</v>
      </c>
      <c r="BQ182" s="197" t="s">
        <v>5791</v>
      </c>
      <c r="BR182" s="197" t="s">
        <v>5791</v>
      </c>
      <c r="BS182" s="197" t="s">
        <v>5791</v>
      </c>
      <c r="BT182" s="196" t="s">
        <v>5791</v>
      </c>
      <c r="BU182" s="197" t="s">
        <v>5791</v>
      </c>
      <c r="BV182" s="197" t="s">
        <v>5791</v>
      </c>
      <c r="BW182" s="197" t="s">
        <v>5791</v>
      </c>
      <c r="BX182" s="197" t="s">
        <v>5791</v>
      </c>
      <c r="BY182" s="197" t="s">
        <v>5791</v>
      </c>
      <c r="BZ182" s="212" t="s">
        <v>5791</v>
      </c>
      <c r="CA182" s="197" t="s">
        <v>5791</v>
      </c>
      <c r="CB182" s="197" t="s">
        <v>5791</v>
      </c>
      <c r="CC182" s="197" t="s">
        <v>5791</v>
      </c>
      <c r="CD182" s="197" t="s">
        <v>5791</v>
      </c>
      <c r="CE182" s="197" t="s">
        <v>5791</v>
      </c>
      <c r="CF182" s="212" t="s">
        <v>5791</v>
      </c>
      <c r="CG182" s="310" t="s">
        <v>6319</v>
      </c>
      <c r="CH182" s="310">
        <v>275</v>
      </c>
      <c r="CI182" s="21">
        <v>327.5</v>
      </c>
      <c r="CJ182" s="310">
        <v>410</v>
      </c>
      <c r="CK182" s="21">
        <v>469.5</v>
      </c>
      <c r="CL182" s="68">
        <v>166000</v>
      </c>
      <c r="CM182" s="301" t="s">
        <v>6319</v>
      </c>
      <c r="CN182" s="310">
        <v>275</v>
      </c>
      <c r="CO182" s="33">
        <f t="shared" si="62"/>
        <v>357.5</v>
      </c>
      <c r="CP182" s="59">
        <v>430</v>
      </c>
      <c r="CQ182" s="32">
        <f t="shared" si="63"/>
        <v>473.00000000000006</v>
      </c>
      <c r="CR182" s="66">
        <v>200000</v>
      </c>
      <c r="CS182" s="301" t="s">
        <v>6319</v>
      </c>
      <c r="CT182" s="59">
        <v>275</v>
      </c>
      <c r="CU182" s="310">
        <v>326</v>
      </c>
      <c r="CV182" s="59">
        <v>410</v>
      </c>
      <c r="CW182" s="310">
        <v>475</v>
      </c>
      <c r="CX182" s="68">
        <v>157000</v>
      </c>
      <c r="CY182" s="201" t="s">
        <v>5791</v>
      </c>
      <c r="CZ182" s="202" t="s">
        <v>5791</v>
      </c>
      <c r="DA182" s="202" t="s">
        <v>5791</v>
      </c>
      <c r="DB182" s="203" t="s">
        <v>5791</v>
      </c>
      <c r="DC182" s="201" t="s">
        <v>5791</v>
      </c>
      <c r="DD182" s="202" t="s">
        <v>5791</v>
      </c>
      <c r="DE182" s="203" t="s">
        <v>5791</v>
      </c>
      <c r="DF182" s="274" t="s">
        <v>5791</v>
      </c>
      <c r="DG182" s="310">
        <v>8.8000000000000007</v>
      </c>
      <c r="DH182" s="310">
        <v>640</v>
      </c>
      <c r="DI182" s="32">
        <v>730</v>
      </c>
      <c r="DJ182" s="310">
        <v>800</v>
      </c>
      <c r="DK182" s="310">
        <v>882</v>
      </c>
      <c r="DL182" s="60">
        <v>200000</v>
      </c>
      <c r="DM182" s="40" t="s">
        <v>4758</v>
      </c>
      <c r="DN182" s="310" t="s">
        <v>4435</v>
      </c>
      <c r="DO182" s="306" t="s">
        <v>4565</v>
      </c>
    </row>
    <row r="183" spans="1:119">
      <c r="A183" s="301">
        <v>178</v>
      </c>
      <c r="B183" s="349"/>
      <c r="C183" s="349"/>
      <c r="D183" s="358"/>
      <c r="E183" s="360"/>
      <c r="F183" s="349"/>
      <c r="G183" s="369"/>
      <c r="H183" s="369"/>
      <c r="I183" s="369"/>
      <c r="J183" s="286" t="s">
        <v>1</v>
      </c>
      <c r="K183" s="301" t="s">
        <v>4383</v>
      </c>
      <c r="L183" s="310" t="s">
        <v>5791</v>
      </c>
      <c r="M183" s="301" t="s">
        <v>4507</v>
      </c>
      <c r="N183" s="310" t="s">
        <v>4700</v>
      </c>
      <c r="O183" s="18" t="s">
        <v>4506</v>
      </c>
      <c r="P183" s="310" t="s">
        <v>6317</v>
      </c>
      <c r="Q183" s="310" t="s">
        <v>4420</v>
      </c>
      <c r="R183" s="310" t="s">
        <v>4420</v>
      </c>
      <c r="S183" s="310" t="s">
        <v>5791</v>
      </c>
      <c r="T183" s="59" t="s">
        <v>4420</v>
      </c>
      <c r="U183" s="59" t="s">
        <v>5791</v>
      </c>
      <c r="V183" s="59" t="s">
        <v>4420</v>
      </c>
      <c r="W183" s="59" t="s">
        <v>5791</v>
      </c>
      <c r="X183" s="310" t="s">
        <v>4420</v>
      </c>
      <c r="Y183" s="310" t="s">
        <v>5791</v>
      </c>
      <c r="Z183" s="310" t="s">
        <v>4558</v>
      </c>
      <c r="AA183" s="18">
        <v>10</v>
      </c>
      <c r="AB183" s="224">
        <v>0</v>
      </c>
      <c r="AC183" s="18">
        <v>0</v>
      </c>
      <c r="AD183" s="301" t="s">
        <v>6326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1" t="s">
        <v>6327</v>
      </c>
      <c r="AK183" s="38">
        <f>INDEX('[2]Cross-Section Database'!$C$2:$V$2928,MATCH(AJ183,'[2]Cross-Section Database'!$B$2:$B$2928,0),3)</f>
        <v>457</v>
      </c>
      <c r="AL183" s="21">
        <f>INDEX('[2]Cross-Section Database'!$C$2:$V$2928,MATCH(AJ183,'[2]Cross-Section Database'!$B$2:$B$2928,0),4)</f>
        <v>190.4</v>
      </c>
      <c r="AM183" s="21">
        <f>INDEX('[2]Cross-Section Database'!$C$2:$V$2928,MATCH(AJ183,'[2]Cross-Section Database'!$B$2:$B$2928,0),6)</f>
        <v>14.5</v>
      </c>
      <c r="AN183" s="21">
        <f>INDEX('[2]Cross-Section Database'!$C$2:$V$2928,MATCH(AJ183,'[2]Cross-Section Database'!$B$2:$B$2928,0),5)</f>
        <v>9</v>
      </c>
      <c r="AO183" s="21">
        <v>1200</v>
      </c>
      <c r="AP183" s="21">
        <f>INDEX('[2]Cross-Section Database'!$C$2:$V$3928,MATCH(AJ183,'[2]Cross-Section Database'!$B$2:$B$3928,0),11)</f>
        <v>333200000</v>
      </c>
      <c r="AQ183" s="24">
        <f>INDEX('[2]Cross-Section Database'!$C$2:$V$3928,MATCH(AJ183,'[2]Cross-Section Database'!$B$2:$B$3928,0),12)</f>
        <v>1653000</v>
      </c>
      <c r="AR183" s="21">
        <v>12</v>
      </c>
      <c r="AS183" s="21">
        <v>200</v>
      </c>
      <c r="AT183" s="21">
        <v>510</v>
      </c>
      <c r="AU183" s="21">
        <f t="shared" si="61"/>
        <v>26.5</v>
      </c>
      <c r="AV183" s="21">
        <f t="shared" si="54"/>
        <v>26.5</v>
      </c>
      <c r="AW183" s="301" t="s">
        <v>5806</v>
      </c>
      <c r="AX183" s="310" t="s">
        <v>4498</v>
      </c>
      <c r="AY183" s="310" t="s">
        <v>6129</v>
      </c>
      <c r="AZ183" s="310">
        <v>24</v>
      </c>
      <c r="BA183" s="310">
        <f t="shared" si="56"/>
        <v>353</v>
      </c>
      <c r="BB183" s="21">
        <v>87</v>
      </c>
      <c r="BC183" s="21">
        <f t="shared" si="57"/>
        <v>87</v>
      </c>
      <c r="BD183" s="21">
        <v>90</v>
      </c>
      <c r="BE183" s="21">
        <v>90</v>
      </c>
      <c r="BF183" s="21">
        <f>AT183-BB183-BC183-2*BD183</f>
        <v>156</v>
      </c>
      <c r="BG183" s="15" t="s">
        <v>6317</v>
      </c>
      <c r="BH183" s="310" t="s">
        <v>4465</v>
      </c>
      <c r="BI183" s="310" t="s">
        <v>4465</v>
      </c>
      <c r="BJ183" s="310">
        <v>4</v>
      </c>
      <c r="BK183" s="310">
        <v>8</v>
      </c>
      <c r="BL183" s="196" t="s">
        <v>5791</v>
      </c>
      <c r="BM183" s="197" t="s">
        <v>5791</v>
      </c>
      <c r="BN183" s="197" t="s">
        <v>5791</v>
      </c>
      <c r="BO183" s="197" t="s">
        <v>5791</v>
      </c>
      <c r="BP183" s="197" t="s">
        <v>5791</v>
      </c>
      <c r="BQ183" s="197" t="s">
        <v>5791</v>
      </c>
      <c r="BR183" s="197" t="s">
        <v>5791</v>
      </c>
      <c r="BS183" s="197" t="s">
        <v>5791</v>
      </c>
      <c r="BT183" s="196" t="s">
        <v>5791</v>
      </c>
      <c r="BU183" s="197" t="s">
        <v>5791</v>
      </c>
      <c r="BV183" s="197" t="s">
        <v>5791</v>
      </c>
      <c r="BW183" s="197" t="s">
        <v>5791</v>
      </c>
      <c r="BX183" s="197" t="s">
        <v>5791</v>
      </c>
      <c r="BY183" s="197" t="s">
        <v>5791</v>
      </c>
      <c r="BZ183" s="212" t="s">
        <v>5791</v>
      </c>
      <c r="CA183" s="197" t="s">
        <v>5791</v>
      </c>
      <c r="CB183" s="197" t="s">
        <v>5791</v>
      </c>
      <c r="CC183" s="197" t="s">
        <v>5791</v>
      </c>
      <c r="CD183" s="197" t="s">
        <v>5791</v>
      </c>
      <c r="CE183" s="197" t="s">
        <v>5791</v>
      </c>
      <c r="CF183" s="212" t="s">
        <v>5791</v>
      </c>
      <c r="CG183" s="310" t="s">
        <v>6319</v>
      </c>
      <c r="CH183" s="310">
        <v>275</v>
      </c>
      <c r="CI183" s="21">
        <v>327.5</v>
      </c>
      <c r="CJ183" s="310">
        <v>410</v>
      </c>
      <c r="CK183" s="21">
        <v>469.5</v>
      </c>
      <c r="CL183" s="68">
        <v>166000</v>
      </c>
      <c r="CM183" s="301" t="s">
        <v>6319</v>
      </c>
      <c r="CN183" s="310">
        <v>275</v>
      </c>
      <c r="CO183" s="33">
        <f t="shared" si="62"/>
        <v>357.5</v>
      </c>
      <c r="CP183" s="310">
        <v>430</v>
      </c>
      <c r="CQ183" s="32">
        <f t="shared" si="63"/>
        <v>473.00000000000006</v>
      </c>
      <c r="CR183" s="66">
        <v>200000</v>
      </c>
      <c r="CS183" s="301" t="s">
        <v>6319</v>
      </c>
      <c r="CT183" s="59">
        <v>275</v>
      </c>
      <c r="CU183" s="310">
        <v>326</v>
      </c>
      <c r="CV183" s="59">
        <v>410</v>
      </c>
      <c r="CW183" s="310">
        <v>475</v>
      </c>
      <c r="CX183" s="68">
        <v>157000</v>
      </c>
      <c r="CY183" s="201" t="s">
        <v>5791</v>
      </c>
      <c r="CZ183" s="202" t="s">
        <v>5791</v>
      </c>
      <c r="DA183" s="202" t="s">
        <v>5791</v>
      </c>
      <c r="DB183" s="203" t="s">
        <v>5791</v>
      </c>
      <c r="DC183" s="201" t="s">
        <v>5791</v>
      </c>
      <c r="DD183" s="202" t="s">
        <v>5791</v>
      </c>
      <c r="DE183" s="203" t="s">
        <v>5791</v>
      </c>
      <c r="DF183" s="274" t="s">
        <v>5791</v>
      </c>
      <c r="DG183" s="310">
        <v>8.8000000000000007</v>
      </c>
      <c r="DH183" s="310">
        <v>640</v>
      </c>
      <c r="DI183" s="32">
        <v>730</v>
      </c>
      <c r="DJ183" s="310">
        <v>800</v>
      </c>
      <c r="DK183" s="310">
        <v>949</v>
      </c>
      <c r="DL183" s="60">
        <v>200000</v>
      </c>
      <c r="DM183" s="40" t="s">
        <v>4767</v>
      </c>
      <c r="DN183" s="310" t="s">
        <v>4435</v>
      </c>
      <c r="DO183" s="306" t="s">
        <v>4565</v>
      </c>
    </row>
    <row r="184" spans="1:119">
      <c r="A184" s="301">
        <v>179</v>
      </c>
      <c r="B184" s="349"/>
      <c r="C184" s="349"/>
      <c r="D184" s="358"/>
      <c r="E184" s="360"/>
      <c r="F184" s="349"/>
      <c r="G184" s="369"/>
      <c r="H184" s="369"/>
      <c r="I184" s="369"/>
      <c r="J184" s="286" t="s">
        <v>2</v>
      </c>
      <c r="K184" s="301" t="s">
        <v>4383</v>
      </c>
      <c r="L184" s="310" t="s">
        <v>5791</v>
      </c>
      <c r="M184" s="301" t="s">
        <v>4507</v>
      </c>
      <c r="N184" s="310" t="s">
        <v>4700</v>
      </c>
      <c r="O184" s="18" t="s">
        <v>4506</v>
      </c>
      <c r="P184" s="310" t="s">
        <v>6317</v>
      </c>
      <c r="Q184" s="310" t="s">
        <v>4420</v>
      </c>
      <c r="R184" s="310" t="s">
        <v>4420</v>
      </c>
      <c r="S184" s="310" t="s">
        <v>5791</v>
      </c>
      <c r="T184" s="59" t="s">
        <v>4420</v>
      </c>
      <c r="U184" s="59" t="s">
        <v>5791</v>
      </c>
      <c r="V184" s="59" t="s">
        <v>4420</v>
      </c>
      <c r="W184" s="59" t="s">
        <v>5791</v>
      </c>
      <c r="X184" s="310" t="s">
        <v>4420</v>
      </c>
      <c r="Y184" s="310" t="s">
        <v>5791</v>
      </c>
      <c r="Z184" s="310" t="s">
        <v>4558</v>
      </c>
      <c r="AA184" s="18">
        <v>10</v>
      </c>
      <c r="AB184" s="224">
        <v>0</v>
      </c>
      <c r="AC184" s="18">
        <v>0</v>
      </c>
      <c r="AD184" s="301" t="s">
        <v>6329</v>
      </c>
      <c r="AE184" s="21">
        <f>INDEX('[2]Cross-Section Database'!$C$2:$V$2928,MATCH(AD184,'[2]Cross-Section Database'!$B$2:$B$2928,0),3)</f>
        <v>254.1</v>
      </c>
      <c r="AF184" s="21">
        <f>INDEX('[2]Cross-Section Database'!$C$2:$V$2928,MATCH(AD184,'[2]Cross-Section Database'!$B$2:$B$2928,0),4)</f>
        <v>254.6</v>
      </c>
      <c r="AG184" s="21">
        <f>INDEX('[2]Cross-Section Database'!$C$2:$V$2928,MATCH(AD184,'[2]Cross-Section Database'!$B$2:$B$2928,0),6)</f>
        <v>14.2</v>
      </c>
      <c r="AH184" s="21">
        <f>INDEX('[2]Cross-Section Database'!$C$2:$V$2928,MATCH(AD184,'[2]Cross-Section Database'!$B$2:$B$2928,0),5)</f>
        <v>8.6</v>
      </c>
      <c r="AI184" s="21">
        <v>1100</v>
      </c>
      <c r="AJ184" s="301" t="s">
        <v>6330</v>
      </c>
      <c r="AK184" s="21">
        <f>INDEX('[2]Cross-Section Database'!$C$2:$V$2928,MATCH(AJ184,'[2]Cross-Section Database'!$B$2:$B$2928,0),3)</f>
        <v>406.4</v>
      </c>
      <c r="AL184" s="21">
        <f>INDEX('[2]Cross-Section Database'!$C$2:$V$2928,MATCH(AJ184,'[2]Cross-Section Database'!$B$2:$B$2928,0),4)</f>
        <v>177.9</v>
      </c>
      <c r="AM184" s="21">
        <f>INDEX('[2]Cross-Section Database'!$C$2:$V$2928,MATCH(AJ184,'[2]Cross-Section Database'!$B$2:$B$2928,0),6)</f>
        <v>12.8</v>
      </c>
      <c r="AN184" s="21">
        <f>INDEX('[2]Cross-Section Database'!$C$2:$V$2928,MATCH(AJ184,'[2]Cross-Section Database'!$B$2:$B$2928,0),5)</f>
        <v>7.9</v>
      </c>
      <c r="AO184" s="21">
        <v>1200</v>
      </c>
      <c r="AP184" s="21">
        <f>INDEX('[2]Cross-Section Database'!$C$2:$V$3928,MATCH(AJ184,'[2]Cross-Section Database'!$B$2:$B$3928,0),11)</f>
        <v>216000000</v>
      </c>
      <c r="AQ184" s="24">
        <f>INDEX('[2]Cross-Section Database'!$C$2:$V$3928,MATCH(AJ184,'[2]Cross-Section Database'!$B$2:$B$3928,0),12)</f>
        <v>1199000</v>
      </c>
      <c r="AR184" s="21">
        <v>12</v>
      </c>
      <c r="AS184" s="21">
        <v>200</v>
      </c>
      <c r="AT184" s="21">
        <v>460</v>
      </c>
      <c r="AU184" s="21">
        <f t="shared" si="61"/>
        <v>26.800000000000011</v>
      </c>
      <c r="AV184" s="21">
        <f t="shared" si="54"/>
        <v>26.800000000000011</v>
      </c>
      <c r="AW184" s="301" t="s">
        <v>5806</v>
      </c>
      <c r="AX184" s="310" t="s">
        <v>4498</v>
      </c>
      <c r="AY184" s="310" t="s">
        <v>6129</v>
      </c>
      <c r="AZ184" s="310">
        <v>20</v>
      </c>
      <c r="BA184" s="310">
        <f t="shared" si="56"/>
        <v>245</v>
      </c>
      <c r="BB184" s="21">
        <v>87</v>
      </c>
      <c r="BC184" s="21">
        <f t="shared" si="57"/>
        <v>87</v>
      </c>
      <c r="BD184" s="21">
        <v>90</v>
      </c>
      <c r="BE184" s="21">
        <v>90</v>
      </c>
      <c r="BF184" s="21">
        <f t="shared" ref="BF184:BF185" si="64">AT184-BB184-BC184-2*BD184</f>
        <v>106</v>
      </c>
      <c r="BG184" s="15" t="s">
        <v>6317</v>
      </c>
      <c r="BH184" s="310" t="s">
        <v>4465</v>
      </c>
      <c r="BI184" s="310" t="s">
        <v>4465</v>
      </c>
      <c r="BJ184" s="310">
        <v>4</v>
      </c>
      <c r="BK184" s="310">
        <v>8</v>
      </c>
      <c r="BL184" s="196" t="s">
        <v>5791</v>
      </c>
      <c r="BM184" s="197" t="s">
        <v>5791</v>
      </c>
      <c r="BN184" s="197" t="s">
        <v>5791</v>
      </c>
      <c r="BO184" s="197" t="s">
        <v>5791</v>
      </c>
      <c r="BP184" s="197" t="s">
        <v>5791</v>
      </c>
      <c r="BQ184" s="197" t="s">
        <v>5791</v>
      </c>
      <c r="BR184" s="197" t="s">
        <v>5791</v>
      </c>
      <c r="BS184" s="197" t="s">
        <v>5791</v>
      </c>
      <c r="BT184" s="196" t="s">
        <v>5791</v>
      </c>
      <c r="BU184" s="197" t="s">
        <v>5791</v>
      </c>
      <c r="BV184" s="197" t="s">
        <v>5791</v>
      </c>
      <c r="BW184" s="197" t="s">
        <v>5791</v>
      </c>
      <c r="BX184" s="197" t="s">
        <v>5791</v>
      </c>
      <c r="BY184" s="197" t="s">
        <v>5791</v>
      </c>
      <c r="BZ184" s="212" t="s">
        <v>5791</v>
      </c>
      <c r="CA184" s="197" t="s">
        <v>5791</v>
      </c>
      <c r="CB184" s="197" t="s">
        <v>5791</v>
      </c>
      <c r="CC184" s="197" t="s">
        <v>5791</v>
      </c>
      <c r="CD184" s="197" t="s">
        <v>5791</v>
      </c>
      <c r="CE184" s="197" t="s">
        <v>5791</v>
      </c>
      <c r="CF184" s="212" t="s">
        <v>5791</v>
      </c>
      <c r="CG184" s="310" t="s">
        <v>6319</v>
      </c>
      <c r="CH184" s="310">
        <v>275</v>
      </c>
      <c r="CI184" s="21">
        <v>327.5</v>
      </c>
      <c r="CJ184" s="310">
        <v>410</v>
      </c>
      <c r="CK184" s="21">
        <v>469.5</v>
      </c>
      <c r="CL184" s="68">
        <v>166000</v>
      </c>
      <c r="CM184" s="301" t="s">
        <v>6319</v>
      </c>
      <c r="CN184" s="310">
        <v>275</v>
      </c>
      <c r="CO184" s="33">
        <f t="shared" si="62"/>
        <v>357.5</v>
      </c>
      <c r="CP184" s="310">
        <v>430</v>
      </c>
      <c r="CQ184" s="32">
        <f t="shared" si="63"/>
        <v>473.00000000000006</v>
      </c>
      <c r="CR184" s="66">
        <v>200000</v>
      </c>
      <c r="CS184" s="301" t="s">
        <v>6319</v>
      </c>
      <c r="CT184" s="59">
        <v>275</v>
      </c>
      <c r="CU184" s="310">
        <v>326</v>
      </c>
      <c r="CV184" s="59">
        <v>410</v>
      </c>
      <c r="CW184" s="310">
        <v>475</v>
      </c>
      <c r="CX184" s="68">
        <v>157000</v>
      </c>
      <c r="CY184" s="201" t="s">
        <v>5791</v>
      </c>
      <c r="CZ184" s="202" t="s">
        <v>5791</v>
      </c>
      <c r="DA184" s="202" t="s">
        <v>5791</v>
      </c>
      <c r="DB184" s="203" t="s">
        <v>5791</v>
      </c>
      <c r="DC184" s="201" t="s">
        <v>5791</v>
      </c>
      <c r="DD184" s="202" t="s">
        <v>5791</v>
      </c>
      <c r="DE184" s="203" t="s">
        <v>5791</v>
      </c>
      <c r="DF184" s="274" t="s">
        <v>5791</v>
      </c>
      <c r="DG184" s="310">
        <v>8.8000000000000007</v>
      </c>
      <c r="DH184" s="310">
        <v>640</v>
      </c>
      <c r="DI184" s="32">
        <v>730</v>
      </c>
      <c r="DJ184" s="310">
        <v>800</v>
      </c>
      <c r="DK184" s="310">
        <v>882</v>
      </c>
      <c r="DL184" s="60">
        <v>200000</v>
      </c>
      <c r="DM184" s="29" t="s">
        <v>4767</v>
      </c>
      <c r="DN184" s="310" t="s">
        <v>4435</v>
      </c>
      <c r="DO184" s="306" t="s">
        <v>4565</v>
      </c>
    </row>
    <row r="185" spans="1:119" ht="15.6" customHeight="1" thickBot="1">
      <c r="A185" s="57">
        <v>180</v>
      </c>
      <c r="B185" s="350"/>
      <c r="C185" s="350"/>
      <c r="D185" s="371"/>
      <c r="E185" s="372"/>
      <c r="F185" s="350"/>
      <c r="G185" s="370"/>
      <c r="H185" s="370"/>
      <c r="I185" s="370"/>
      <c r="J185" s="285" t="s">
        <v>3</v>
      </c>
      <c r="K185" s="57" t="s">
        <v>4383</v>
      </c>
      <c r="L185" s="311" t="s">
        <v>5791</v>
      </c>
      <c r="M185" s="308" t="s">
        <v>4507</v>
      </c>
      <c r="N185" s="311" t="s">
        <v>4700</v>
      </c>
      <c r="O185" s="14" t="s">
        <v>4506</v>
      </c>
      <c r="P185" s="311" t="s">
        <v>6317</v>
      </c>
      <c r="Q185" s="311" t="s">
        <v>4420</v>
      </c>
      <c r="R185" s="311" t="s">
        <v>4420</v>
      </c>
      <c r="S185" s="311" t="s">
        <v>5791</v>
      </c>
      <c r="T185" s="86" t="s">
        <v>4420</v>
      </c>
      <c r="U185" s="86" t="s">
        <v>5791</v>
      </c>
      <c r="V185" s="86" t="s">
        <v>4420</v>
      </c>
      <c r="W185" s="86" t="s">
        <v>5791</v>
      </c>
      <c r="X185" s="311" t="s">
        <v>4420</v>
      </c>
      <c r="Y185" s="311" t="s">
        <v>5791</v>
      </c>
      <c r="Z185" s="311" t="s">
        <v>4558</v>
      </c>
      <c r="AA185" s="14">
        <v>10</v>
      </c>
      <c r="AB185" s="226">
        <v>0</v>
      </c>
      <c r="AC185" s="14">
        <v>0</v>
      </c>
      <c r="AD185" s="308" t="s">
        <v>6329</v>
      </c>
      <c r="AE185" s="23">
        <f>INDEX('[2]Cross-Section Database'!$C$2:$V$2928,MATCH(AD185,'[2]Cross-Section Database'!$B$2:$B$2928,0),3)</f>
        <v>254.1</v>
      </c>
      <c r="AF185" s="23">
        <f>INDEX('[2]Cross-Section Database'!$C$2:$V$2928,MATCH(AD185,'[2]Cross-Section Database'!$B$2:$B$2928,0),4)</f>
        <v>254.6</v>
      </c>
      <c r="AG185" s="23">
        <f>INDEX('[2]Cross-Section Database'!$C$2:$V$2928,MATCH(AD185,'[2]Cross-Section Database'!$B$2:$B$2928,0),6)</f>
        <v>14.2</v>
      </c>
      <c r="AH185" s="23">
        <f>INDEX('[2]Cross-Section Database'!$C$2:$V$2928,MATCH(AD185,'[2]Cross-Section Database'!$B$2:$B$2928,0),5)</f>
        <v>8.6</v>
      </c>
      <c r="AI185" s="23">
        <v>1100</v>
      </c>
      <c r="AJ185" s="301" t="s">
        <v>6330</v>
      </c>
      <c r="AK185" s="21">
        <f>INDEX('[2]Cross-Section Database'!$C$2:$V$2928,MATCH(AJ185,'[2]Cross-Section Database'!$B$2:$B$2928,0),3)</f>
        <v>406.4</v>
      </c>
      <c r="AL185" s="21">
        <f>INDEX('[2]Cross-Section Database'!$C$2:$V$2928,MATCH(AJ185,'[2]Cross-Section Database'!$B$2:$B$2928,0),4)</f>
        <v>177.9</v>
      </c>
      <c r="AM185" s="21">
        <f>INDEX('[2]Cross-Section Database'!$C$2:$V$2928,MATCH(AJ185,'[2]Cross-Section Database'!$B$2:$B$2928,0),6)</f>
        <v>12.8</v>
      </c>
      <c r="AN185" s="21">
        <f>INDEX('[2]Cross-Section Database'!$C$2:$V$2928,MATCH(AJ185,'[2]Cross-Section Database'!$B$2:$B$2928,0),5)</f>
        <v>7.9</v>
      </c>
      <c r="AO185" s="21">
        <v>1200</v>
      </c>
      <c r="AP185" s="21">
        <f>INDEX('[2]Cross-Section Database'!$C$2:$V$3928,MATCH(AJ185,'[2]Cross-Section Database'!$B$2:$B$3928,0),11)</f>
        <v>216000000</v>
      </c>
      <c r="AQ185" s="24">
        <f>INDEX('[2]Cross-Section Database'!$C$2:$V$3928,MATCH(AJ185,'[2]Cross-Section Database'!$B$2:$B$3928,0),12)</f>
        <v>1199000</v>
      </c>
      <c r="AR185" s="21">
        <v>15</v>
      </c>
      <c r="AS185" s="21">
        <v>200</v>
      </c>
      <c r="AT185" s="21">
        <v>460</v>
      </c>
      <c r="AU185" s="21">
        <f t="shared" si="61"/>
        <v>26.800000000000011</v>
      </c>
      <c r="AV185" s="21">
        <f t="shared" si="54"/>
        <v>26.800000000000011</v>
      </c>
      <c r="AW185" s="301" t="s">
        <v>5806</v>
      </c>
      <c r="AX185" s="310" t="s">
        <v>4498</v>
      </c>
      <c r="AY185" s="310" t="s">
        <v>6129</v>
      </c>
      <c r="AZ185" s="310">
        <v>20</v>
      </c>
      <c r="BA185" s="310">
        <f t="shared" si="56"/>
        <v>245</v>
      </c>
      <c r="BB185" s="21">
        <v>87</v>
      </c>
      <c r="BC185" s="21">
        <f t="shared" si="57"/>
        <v>87</v>
      </c>
      <c r="BD185" s="21">
        <v>90</v>
      </c>
      <c r="BE185" s="21">
        <v>90</v>
      </c>
      <c r="BF185" s="21">
        <f t="shared" si="64"/>
        <v>106</v>
      </c>
      <c r="BG185" s="15" t="s">
        <v>6317</v>
      </c>
      <c r="BH185" s="310" t="s">
        <v>4465</v>
      </c>
      <c r="BI185" s="310" t="s">
        <v>4465</v>
      </c>
      <c r="BJ185" s="310">
        <v>4</v>
      </c>
      <c r="BK185" s="310">
        <v>8</v>
      </c>
      <c r="BL185" s="196" t="s">
        <v>5791</v>
      </c>
      <c r="BM185" s="197" t="s">
        <v>5791</v>
      </c>
      <c r="BN185" s="197" t="s">
        <v>5791</v>
      </c>
      <c r="BO185" s="197" t="s">
        <v>5791</v>
      </c>
      <c r="BP185" s="197" t="s">
        <v>5791</v>
      </c>
      <c r="BQ185" s="197" t="s">
        <v>5791</v>
      </c>
      <c r="BR185" s="197" t="s">
        <v>5791</v>
      </c>
      <c r="BS185" s="197" t="s">
        <v>5791</v>
      </c>
      <c r="BT185" s="196" t="s">
        <v>5791</v>
      </c>
      <c r="BU185" s="197" t="s">
        <v>5791</v>
      </c>
      <c r="BV185" s="197" t="s">
        <v>5791</v>
      </c>
      <c r="BW185" s="197" t="s">
        <v>5791</v>
      </c>
      <c r="BX185" s="197" t="s">
        <v>5791</v>
      </c>
      <c r="BY185" s="197" t="s">
        <v>5791</v>
      </c>
      <c r="BZ185" s="212" t="s">
        <v>5791</v>
      </c>
      <c r="CA185" s="197" t="s">
        <v>5791</v>
      </c>
      <c r="CB185" s="197" t="s">
        <v>5791</v>
      </c>
      <c r="CC185" s="197" t="s">
        <v>5791</v>
      </c>
      <c r="CD185" s="197" t="s">
        <v>5791</v>
      </c>
      <c r="CE185" s="197" t="s">
        <v>5791</v>
      </c>
      <c r="CF185" s="212" t="s">
        <v>5791</v>
      </c>
      <c r="CG185" s="310" t="s">
        <v>6319</v>
      </c>
      <c r="CH185" s="310">
        <v>275</v>
      </c>
      <c r="CI185" s="21">
        <v>327.5</v>
      </c>
      <c r="CJ185" s="310">
        <v>410</v>
      </c>
      <c r="CK185" s="21">
        <v>469.5</v>
      </c>
      <c r="CL185" s="68">
        <v>166000</v>
      </c>
      <c r="CM185" s="301" t="s">
        <v>6319</v>
      </c>
      <c r="CN185" s="310">
        <v>275</v>
      </c>
      <c r="CO185" s="33">
        <f t="shared" si="62"/>
        <v>357.5</v>
      </c>
      <c r="CP185" s="310">
        <v>430</v>
      </c>
      <c r="CQ185" s="32">
        <f t="shared" si="63"/>
        <v>473.00000000000006</v>
      </c>
      <c r="CR185" s="66">
        <v>200000</v>
      </c>
      <c r="CS185" s="301" t="s">
        <v>6319</v>
      </c>
      <c r="CT185" s="59">
        <v>275</v>
      </c>
      <c r="CU185" s="310">
        <v>307</v>
      </c>
      <c r="CV185" s="59">
        <v>410</v>
      </c>
      <c r="CW185" s="310">
        <v>461</v>
      </c>
      <c r="CX185" s="68">
        <v>150000</v>
      </c>
      <c r="CY185" s="201" t="s">
        <v>5791</v>
      </c>
      <c r="CZ185" s="202" t="s">
        <v>5791</v>
      </c>
      <c r="DA185" s="202" t="s">
        <v>5791</v>
      </c>
      <c r="DB185" s="203" t="s">
        <v>5791</v>
      </c>
      <c r="DC185" s="201" t="s">
        <v>5791</v>
      </c>
      <c r="DD185" s="202" t="s">
        <v>5791</v>
      </c>
      <c r="DE185" s="203" t="s">
        <v>5791</v>
      </c>
      <c r="DF185" s="274" t="s">
        <v>5791</v>
      </c>
      <c r="DG185" s="310">
        <v>8.8000000000000007</v>
      </c>
      <c r="DH185" s="310">
        <v>640</v>
      </c>
      <c r="DI185" s="32">
        <v>730</v>
      </c>
      <c r="DJ185" s="310">
        <v>800</v>
      </c>
      <c r="DK185" s="310">
        <v>882</v>
      </c>
      <c r="DL185" s="60">
        <v>200000</v>
      </c>
      <c r="DM185" s="29" t="s">
        <v>4767</v>
      </c>
      <c r="DN185" s="310" t="s">
        <v>4435</v>
      </c>
      <c r="DO185" s="306" t="s">
        <v>4565</v>
      </c>
    </row>
    <row r="186" spans="1:119" ht="15.6" customHeight="1">
      <c r="A186" s="302">
        <v>181</v>
      </c>
      <c r="B186" s="348">
        <v>27</v>
      </c>
      <c r="C186" s="348">
        <v>1996</v>
      </c>
      <c r="D186" s="348" t="s">
        <v>5996</v>
      </c>
      <c r="E186" s="348" t="s">
        <v>5997</v>
      </c>
      <c r="F186" s="348">
        <v>3</v>
      </c>
      <c r="G186" s="348" t="s">
        <v>5985</v>
      </c>
      <c r="H186" s="348" t="s">
        <v>5919</v>
      </c>
      <c r="I186" s="348" t="s">
        <v>6235</v>
      </c>
      <c r="J186" s="284" t="s">
        <v>5987</v>
      </c>
      <c r="K186" s="302" t="s">
        <v>4534</v>
      </c>
      <c r="L186" s="309" t="s">
        <v>6057</v>
      </c>
      <c r="M186" s="297" t="s">
        <v>4507</v>
      </c>
      <c r="N186" s="302" t="s">
        <v>4699</v>
      </c>
      <c r="O186" s="17" t="s">
        <v>4506</v>
      </c>
      <c r="P186" s="300" t="s">
        <v>4470</v>
      </c>
      <c r="Q186" s="309" t="s">
        <v>4420</v>
      </c>
      <c r="R186" s="309" t="s">
        <v>4420</v>
      </c>
      <c r="S186" s="309" t="s">
        <v>5791</v>
      </c>
      <c r="T186" s="64" t="s">
        <v>4420</v>
      </c>
      <c r="U186" s="64" t="s">
        <v>5791</v>
      </c>
      <c r="V186" s="64" t="s">
        <v>4420</v>
      </c>
      <c r="W186" s="64" t="s">
        <v>5791</v>
      </c>
      <c r="X186" s="309" t="s">
        <v>4420</v>
      </c>
      <c r="Y186" s="309" t="s">
        <v>5791</v>
      </c>
      <c r="Z186" s="30" t="s">
        <v>4558</v>
      </c>
      <c r="AA186" s="87">
        <v>6</v>
      </c>
      <c r="AB186" s="232">
        <v>0</v>
      </c>
      <c r="AC186" s="17">
        <v>0</v>
      </c>
      <c r="AD186" s="302" t="s">
        <v>4347</v>
      </c>
      <c r="AE186" s="16">
        <f>INDEX('[2]Cross-Section Database'!$C$2:$V$2928,MATCH(AD186,'[2]Cross-Section Database'!$B$2:$B$2928,0),3)</f>
        <v>254.1</v>
      </c>
      <c r="AF186" s="16">
        <f>INDEX('[2]Cross-Section Database'!$C$2:$V$2928,MATCH(AD186,'[2]Cross-Section Database'!$B$2:$B$2928,0),4)</f>
        <v>254.6</v>
      </c>
      <c r="AG186" s="16">
        <f>INDEX('[2]Cross-Section Database'!$C$2:$V$2928,MATCH(AD186,'[2]Cross-Section Database'!$B$2:$B$2928,0),6)</f>
        <v>14.2</v>
      </c>
      <c r="AH186" s="16">
        <f>INDEX('[2]Cross-Section Database'!$C$2:$V$2928,MATCH(AD186,'[2]Cross-Section Database'!$B$2:$B$2928,0),5)</f>
        <v>8.6</v>
      </c>
      <c r="AI186" s="44">
        <v>2165</v>
      </c>
      <c r="AJ186" s="300" t="s">
        <v>4214</v>
      </c>
      <c r="AK186" s="16">
        <f>INDEX('[2]Cross-Section Database'!$C$2:$V$23928,MATCH(AJ186,'[2]Cross-Section Database'!$B$2:$B$3928,0),3)</f>
        <v>304.39999999999998</v>
      </c>
      <c r="AL186" s="16">
        <f>INDEX('[2]Cross-Section Database'!$C$2:$V$3928,MATCH(AJ186,'[2]Cross-Section Database'!$B$2:$B$3928,0),4)</f>
        <v>123.4</v>
      </c>
      <c r="AM186" s="16">
        <f>INDEX('[2]Cross-Section Database'!$C$2:$V$3928,MATCH(AJ186,'[2]Cross-Section Database'!$B$2:$B$3928,0),6)</f>
        <v>10.7</v>
      </c>
      <c r="AN186" s="16">
        <f>INDEX('[2]Cross-Section Database'!$C$2:$V$3928,MATCH(AJ186,'[2]Cross-Section Database'!$B$2:$B$3928,0),5)</f>
        <v>7.1</v>
      </c>
      <c r="AO186" s="16">
        <v>1873</v>
      </c>
      <c r="AP186" s="16">
        <f>INDEX('[2]Cross-Section Database'!$C$2:$V$3928,MATCH(AJ186,'[2]Cross-Section Database'!$B$2:$B$3928,0),11)</f>
        <v>71710000</v>
      </c>
      <c r="AQ186" s="26">
        <f>INDEX('[2]Cross-Section Database'!$C$2:$V$3928,MATCH(AJ186,'[2]Cross-Section Database'!$B$2:$B$3928,0),12)</f>
        <v>539400</v>
      </c>
      <c r="AR186" s="52">
        <v>10</v>
      </c>
      <c r="AS186" s="31">
        <v>270</v>
      </c>
      <c r="AT186" s="31">
        <v>324</v>
      </c>
      <c r="AU186" s="16">
        <v>10</v>
      </c>
      <c r="AV186" s="26">
        <v>10</v>
      </c>
      <c r="AW186" s="300" t="s">
        <v>5806</v>
      </c>
      <c r="AX186" s="309" t="s">
        <v>5986</v>
      </c>
      <c r="AY186" s="16">
        <v>50</v>
      </c>
      <c r="AZ186" s="309">
        <v>20</v>
      </c>
      <c r="BA186" s="309">
        <f t="shared" si="56"/>
        <v>245</v>
      </c>
      <c r="BB186" s="16">
        <v>72</v>
      </c>
      <c r="BC186" s="16">
        <v>72</v>
      </c>
      <c r="BD186" s="44">
        <v>100</v>
      </c>
      <c r="BE186" s="31">
        <v>60</v>
      </c>
      <c r="BF186" s="44">
        <v>0</v>
      </c>
      <c r="BG186" s="22" t="s">
        <v>4470</v>
      </c>
      <c r="BH186" s="309" t="s">
        <v>6204</v>
      </c>
      <c r="BI186" s="309" t="s">
        <v>6204</v>
      </c>
      <c r="BJ186" s="309">
        <v>2</v>
      </c>
      <c r="BK186" s="17">
        <v>6</v>
      </c>
      <c r="BL186" s="300">
        <v>125</v>
      </c>
      <c r="BM186" s="309">
        <v>1200</v>
      </c>
      <c r="BN186" s="309" t="s">
        <v>6189</v>
      </c>
      <c r="BO186" s="309">
        <v>1</v>
      </c>
      <c r="BP186" s="309">
        <v>180</v>
      </c>
      <c r="BQ186" s="309">
        <v>1678</v>
      </c>
      <c r="BR186" s="309">
        <v>52</v>
      </c>
      <c r="BS186" s="309" t="s">
        <v>4590</v>
      </c>
      <c r="BT186" s="300" t="s">
        <v>5855</v>
      </c>
      <c r="BU186" s="309">
        <v>18</v>
      </c>
      <c r="BV186" s="309">
        <v>2</v>
      </c>
      <c r="BW186" s="309">
        <v>19</v>
      </c>
      <c r="BX186" s="309">
        <v>100</v>
      </c>
      <c r="BY186" s="309">
        <v>100</v>
      </c>
      <c r="BZ186" s="17">
        <v>210</v>
      </c>
      <c r="CA186" s="300" t="s">
        <v>5992</v>
      </c>
      <c r="CB186" s="309" t="s">
        <v>4690</v>
      </c>
      <c r="CC186" s="31">
        <f>((BM186/250)+1)*PI()*8^2/4</f>
        <v>291.5397982531328</v>
      </c>
      <c r="CD186" s="31">
        <f>CF186*BM186*(BL186-BR186)</f>
        <v>1165.08</v>
      </c>
      <c r="CE186" s="30">
        <v>25</v>
      </c>
      <c r="CF186" s="121">
        <v>1.3299999999999999E-2</v>
      </c>
      <c r="CG186" s="105" t="s">
        <v>5792</v>
      </c>
      <c r="CH186" s="64">
        <v>275</v>
      </c>
      <c r="CI186" s="16">
        <f>(349+366)/2</f>
        <v>357.5</v>
      </c>
      <c r="CJ186" s="64">
        <v>410</v>
      </c>
      <c r="CK186" s="16">
        <f>(499+515)/2</f>
        <v>507</v>
      </c>
      <c r="CL186" s="65">
        <v>200000</v>
      </c>
      <c r="CM186" s="105" t="s">
        <v>5792</v>
      </c>
      <c r="CN186" s="64">
        <v>275</v>
      </c>
      <c r="CO186" s="16">
        <f>(351+327)/2</f>
        <v>339</v>
      </c>
      <c r="CP186" s="64">
        <v>410</v>
      </c>
      <c r="CQ186" s="16">
        <f>(467+459)/2</f>
        <v>463</v>
      </c>
      <c r="CR186" s="65">
        <v>200000</v>
      </c>
      <c r="CS186" s="105" t="s">
        <v>5792</v>
      </c>
      <c r="CT186" s="64">
        <v>275</v>
      </c>
      <c r="CU186" s="44">
        <v>308</v>
      </c>
      <c r="CV186" s="64">
        <v>410</v>
      </c>
      <c r="CW186" s="44">
        <v>472</v>
      </c>
      <c r="CX186" s="65">
        <v>200000</v>
      </c>
      <c r="CY186" s="302" t="s">
        <v>5653</v>
      </c>
      <c r="CZ186" s="44">
        <v>43.2</v>
      </c>
      <c r="DA186" s="44">
        <v>3.02</v>
      </c>
      <c r="DB186" s="65">
        <v>35000</v>
      </c>
      <c r="DC186" s="300">
        <v>505</v>
      </c>
      <c r="DD186" s="309">
        <v>654</v>
      </c>
      <c r="DE186" s="65">
        <v>200000</v>
      </c>
      <c r="DF186" s="294">
        <v>550</v>
      </c>
      <c r="DG186" s="309">
        <v>8.8000000000000007</v>
      </c>
      <c r="DH186" s="309">
        <v>640</v>
      </c>
      <c r="DI186" s="30">
        <v>730</v>
      </c>
      <c r="DJ186" s="309">
        <v>800</v>
      </c>
      <c r="DK186" s="30">
        <v>940</v>
      </c>
      <c r="DL186" s="65">
        <v>200000</v>
      </c>
      <c r="DM186" s="28" t="s">
        <v>5990</v>
      </c>
      <c r="DN186" s="309" t="s">
        <v>4560</v>
      </c>
      <c r="DO186" s="305" t="s">
        <v>4565</v>
      </c>
    </row>
    <row r="187" spans="1:119">
      <c r="A187" s="303">
        <v>182</v>
      </c>
      <c r="B187" s="349"/>
      <c r="C187" s="349"/>
      <c r="D187" s="349"/>
      <c r="E187" s="349"/>
      <c r="F187" s="349"/>
      <c r="G187" s="349"/>
      <c r="H187" s="349"/>
      <c r="I187" s="349"/>
      <c r="J187" s="286" t="s">
        <v>5988</v>
      </c>
      <c r="K187" s="303" t="s">
        <v>4534</v>
      </c>
      <c r="L187" s="303" t="s">
        <v>6057</v>
      </c>
      <c r="M187" s="298" t="s">
        <v>4507</v>
      </c>
      <c r="N187" s="303" t="s">
        <v>4699</v>
      </c>
      <c r="O187" s="48" t="s">
        <v>4506</v>
      </c>
      <c r="P187" s="298" t="s">
        <v>4470</v>
      </c>
      <c r="Q187" s="303" t="s">
        <v>4420</v>
      </c>
      <c r="R187" s="303" t="s">
        <v>4420</v>
      </c>
      <c r="S187" s="303" t="s">
        <v>5791</v>
      </c>
      <c r="T187" s="59" t="s">
        <v>4420</v>
      </c>
      <c r="U187" s="59" t="s">
        <v>5791</v>
      </c>
      <c r="V187" s="59" t="s">
        <v>4420</v>
      </c>
      <c r="W187" s="59" t="s">
        <v>5791</v>
      </c>
      <c r="X187" s="303" t="s">
        <v>4420</v>
      </c>
      <c r="Y187" s="303" t="s">
        <v>5791</v>
      </c>
      <c r="Z187" s="32" t="s">
        <v>4558</v>
      </c>
      <c r="AA187" s="72">
        <v>6</v>
      </c>
      <c r="AB187" s="223">
        <v>0</v>
      </c>
      <c r="AC187" s="18">
        <v>0</v>
      </c>
      <c r="AD187" s="310" t="s">
        <v>4347</v>
      </c>
      <c r="AE187" s="21">
        <f>INDEX('[2]Cross-Section Database'!$C$2:$V$2928,MATCH(AD187,'[2]Cross-Section Database'!$B$2:$B$2928,0),3)</f>
        <v>254.1</v>
      </c>
      <c r="AF187" s="21">
        <f>INDEX('[2]Cross-Section Database'!$C$2:$V$2928,MATCH(AD187,'[2]Cross-Section Database'!$B$2:$B$2928,0),4)</f>
        <v>254.6</v>
      </c>
      <c r="AG187" s="21">
        <f>INDEX('[2]Cross-Section Database'!$C$2:$V$2928,MATCH(AD187,'[2]Cross-Section Database'!$B$2:$B$2928,0),6)</f>
        <v>14.2</v>
      </c>
      <c r="AH187" s="21">
        <f>INDEX('[2]Cross-Section Database'!$C$2:$V$2928,MATCH(AD187,'[2]Cross-Section Database'!$B$2:$B$2928,0),5)</f>
        <v>8.6</v>
      </c>
      <c r="AI187" s="21">
        <v>2165</v>
      </c>
      <c r="AJ187" s="301" t="s">
        <v>4214</v>
      </c>
      <c r="AK187" s="21">
        <f>INDEX('[2]Cross-Section Database'!$C$2:$V$23928,MATCH(AJ187,'[2]Cross-Section Database'!$B$2:$B$3928,0),3)</f>
        <v>304.39999999999998</v>
      </c>
      <c r="AL187" s="21">
        <f>INDEX('[2]Cross-Section Database'!$C$2:$V$3928,MATCH(AJ187,'[2]Cross-Section Database'!$B$2:$B$3928,0),4)</f>
        <v>123.4</v>
      </c>
      <c r="AM187" s="21">
        <f>INDEX('[2]Cross-Section Database'!$C$2:$V$3928,MATCH(AJ187,'[2]Cross-Section Database'!$B$2:$B$3928,0),6)</f>
        <v>10.7</v>
      </c>
      <c r="AN187" s="21">
        <f>INDEX('[2]Cross-Section Database'!$C$2:$V$3928,MATCH(AJ187,'[2]Cross-Section Database'!$B$2:$B$3928,0),5)</f>
        <v>7.1</v>
      </c>
      <c r="AO187" s="21">
        <v>1873</v>
      </c>
      <c r="AP187" s="21">
        <f>INDEX('[2]Cross-Section Database'!$C$2:$V$3928,MATCH(AJ187,'[2]Cross-Section Database'!$B$2:$B$3928,0),11)</f>
        <v>71710000</v>
      </c>
      <c r="AQ187" s="24">
        <f>INDEX('[2]Cross-Section Database'!$C$2:$V$3928,MATCH(AJ187,'[2]Cross-Section Database'!$B$2:$B$3928,0),12)</f>
        <v>539400</v>
      </c>
      <c r="AR187" s="53">
        <v>10</v>
      </c>
      <c r="AS187" s="33">
        <v>270</v>
      </c>
      <c r="AT187" s="33">
        <v>324</v>
      </c>
      <c r="AU187" s="21">
        <v>10</v>
      </c>
      <c r="AV187" s="24">
        <v>10</v>
      </c>
      <c r="AW187" s="310" t="s">
        <v>5806</v>
      </c>
      <c r="AX187" s="310" t="s">
        <v>5986</v>
      </c>
      <c r="AY187" s="310">
        <v>50</v>
      </c>
      <c r="AZ187" s="310">
        <v>20</v>
      </c>
      <c r="BA187" s="310">
        <f t="shared" si="56"/>
        <v>245</v>
      </c>
      <c r="BB187" s="21">
        <v>72</v>
      </c>
      <c r="BC187" s="21">
        <v>72</v>
      </c>
      <c r="BD187" s="21">
        <v>100</v>
      </c>
      <c r="BE187" s="33">
        <v>60</v>
      </c>
      <c r="BF187" s="21">
        <v>0</v>
      </c>
      <c r="BG187" s="15" t="s">
        <v>4470</v>
      </c>
      <c r="BH187" s="310" t="s">
        <v>6204</v>
      </c>
      <c r="BI187" s="310" t="s">
        <v>6204</v>
      </c>
      <c r="BJ187" s="310">
        <v>2</v>
      </c>
      <c r="BK187" s="18">
        <v>6</v>
      </c>
      <c r="BL187" s="301">
        <v>125</v>
      </c>
      <c r="BM187" s="310">
        <v>1200</v>
      </c>
      <c r="BN187" s="310" t="s">
        <v>6189</v>
      </c>
      <c r="BO187" s="310">
        <v>1</v>
      </c>
      <c r="BP187" s="310">
        <v>180</v>
      </c>
      <c r="BQ187" s="310">
        <v>1678</v>
      </c>
      <c r="BR187" s="310">
        <v>52</v>
      </c>
      <c r="BS187" s="310" t="s">
        <v>4590</v>
      </c>
      <c r="BT187" s="301" t="s">
        <v>5855</v>
      </c>
      <c r="BU187" s="310">
        <v>9</v>
      </c>
      <c r="BV187" s="310">
        <v>1</v>
      </c>
      <c r="BW187" s="310">
        <v>19</v>
      </c>
      <c r="BX187" s="310">
        <v>100</v>
      </c>
      <c r="BY187" s="310">
        <v>100</v>
      </c>
      <c r="BZ187" s="18">
        <v>210</v>
      </c>
      <c r="CA187" s="301" t="s">
        <v>5992</v>
      </c>
      <c r="CB187" s="310" t="s">
        <v>6162</v>
      </c>
      <c r="CC187" s="33">
        <f>((BM187/250)+1)*PI()*8^2/4</f>
        <v>291.5397982531328</v>
      </c>
      <c r="CD187" s="33">
        <f>CF187*BM187*(BL187-BR187)</f>
        <v>805.92</v>
      </c>
      <c r="CE187" s="32">
        <v>25</v>
      </c>
      <c r="CF187" s="119">
        <v>9.1999999999999998E-3</v>
      </c>
      <c r="CG187" s="106" t="s">
        <v>5792</v>
      </c>
      <c r="CH187" s="59">
        <v>275</v>
      </c>
      <c r="CI187" s="21">
        <f t="shared" ref="CI187:CI188" si="65">(349+366)/2</f>
        <v>357.5</v>
      </c>
      <c r="CJ187" s="59">
        <v>410</v>
      </c>
      <c r="CK187" s="21">
        <f t="shared" ref="CK187:CK188" si="66">(499+515)/2</f>
        <v>507</v>
      </c>
      <c r="CL187" s="66">
        <v>200000</v>
      </c>
      <c r="CM187" s="106" t="s">
        <v>5792</v>
      </c>
      <c r="CN187" s="59">
        <v>275</v>
      </c>
      <c r="CO187" s="21">
        <f t="shared" ref="CO187:CO188" si="67">(351+327)/2</f>
        <v>339</v>
      </c>
      <c r="CP187" s="59">
        <v>410</v>
      </c>
      <c r="CQ187" s="21">
        <f t="shared" ref="CQ187:CQ188" si="68">(467+459)/2</f>
        <v>463</v>
      </c>
      <c r="CR187" s="66">
        <v>200000</v>
      </c>
      <c r="CS187" s="106" t="s">
        <v>5792</v>
      </c>
      <c r="CT187" s="59">
        <v>275</v>
      </c>
      <c r="CU187" s="45">
        <v>308</v>
      </c>
      <c r="CV187" s="59">
        <v>410</v>
      </c>
      <c r="CW187" s="45">
        <v>472</v>
      </c>
      <c r="CX187" s="66">
        <v>200000</v>
      </c>
      <c r="CY187" s="303" t="s">
        <v>5653</v>
      </c>
      <c r="CZ187" s="45">
        <v>41.41</v>
      </c>
      <c r="DA187" s="45">
        <v>2.84</v>
      </c>
      <c r="DB187" s="66">
        <v>35000</v>
      </c>
      <c r="DC187" s="301">
        <v>505</v>
      </c>
      <c r="DD187" s="310">
        <v>654</v>
      </c>
      <c r="DE187" s="66">
        <v>200000</v>
      </c>
      <c r="DF187" s="295">
        <v>550</v>
      </c>
      <c r="DG187" s="310">
        <v>8.8000000000000007</v>
      </c>
      <c r="DH187" s="310">
        <v>640</v>
      </c>
      <c r="DI187" s="32">
        <v>730</v>
      </c>
      <c r="DJ187" s="10">
        <v>800</v>
      </c>
      <c r="DK187" s="32">
        <v>940</v>
      </c>
      <c r="DL187" s="66">
        <v>200000</v>
      </c>
      <c r="DM187" s="29" t="s">
        <v>5990</v>
      </c>
      <c r="DN187" s="310" t="s">
        <v>4560</v>
      </c>
      <c r="DO187" s="306" t="s">
        <v>4565</v>
      </c>
    </row>
    <row r="188" spans="1:119" ht="15.6" customHeight="1" thickBot="1">
      <c r="A188" s="304">
        <v>183</v>
      </c>
      <c r="B188" s="350"/>
      <c r="C188" s="350"/>
      <c r="D188" s="350"/>
      <c r="E188" s="350"/>
      <c r="F188" s="350"/>
      <c r="G188" s="350"/>
      <c r="H188" s="350"/>
      <c r="I188" s="350"/>
      <c r="J188" s="285" t="s">
        <v>5989</v>
      </c>
      <c r="K188" s="304" t="s">
        <v>4534</v>
      </c>
      <c r="L188" s="304" t="s">
        <v>6057</v>
      </c>
      <c r="M188" s="299" t="s">
        <v>4508</v>
      </c>
      <c r="N188" s="304" t="s">
        <v>4699</v>
      </c>
      <c r="O188" s="49" t="s">
        <v>4506</v>
      </c>
      <c r="P188" s="299" t="s">
        <v>4470</v>
      </c>
      <c r="Q188" s="304" t="s">
        <v>4420</v>
      </c>
      <c r="R188" s="304" t="s">
        <v>4420</v>
      </c>
      <c r="S188" s="304" t="s">
        <v>5791</v>
      </c>
      <c r="T188" s="86" t="s">
        <v>4420</v>
      </c>
      <c r="U188" s="86" t="s">
        <v>5791</v>
      </c>
      <c r="V188" s="86" t="s">
        <v>4420</v>
      </c>
      <c r="W188" s="86" t="s">
        <v>5791</v>
      </c>
      <c r="X188" s="304" t="s">
        <v>4420</v>
      </c>
      <c r="Y188" s="304" t="s">
        <v>5791</v>
      </c>
      <c r="Z188" s="34" t="s">
        <v>4558</v>
      </c>
      <c r="AA188" s="117">
        <v>6</v>
      </c>
      <c r="AB188" s="228">
        <v>0</v>
      </c>
      <c r="AC188" s="14">
        <v>0</v>
      </c>
      <c r="AD188" s="311" t="s">
        <v>4347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2165</v>
      </c>
      <c r="AJ188" s="308" t="s">
        <v>4214</v>
      </c>
      <c r="AK188" s="23">
        <f>INDEX('[2]Cross-Section Database'!$C$2:$V$23928,MATCH(AJ188,'[2]Cross-Section Database'!$B$2:$B$3928,0),3)</f>
        <v>304.39999999999998</v>
      </c>
      <c r="AL188" s="23">
        <f>INDEX('[2]Cross-Section Database'!$C$2:$V$3928,MATCH(AJ188,'[2]Cross-Section Database'!$B$2:$B$3928,0),4)</f>
        <v>123.4</v>
      </c>
      <c r="AM188" s="23">
        <f>INDEX('[2]Cross-Section Database'!$C$2:$V$3928,MATCH(AJ188,'[2]Cross-Section Database'!$B$2:$B$3928,0),6)</f>
        <v>10.7</v>
      </c>
      <c r="AN188" s="23">
        <f>INDEX('[2]Cross-Section Database'!$C$2:$V$3928,MATCH(AJ188,'[2]Cross-Section Database'!$B$2:$B$3928,0),5)</f>
        <v>7.1</v>
      </c>
      <c r="AO188" s="23">
        <v>1873</v>
      </c>
      <c r="AP188" s="21">
        <f>INDEX('[2]Cross-Section Database'!$C$2:$V$3928,MATCH(AJ188,'[2]Cross-Section Database'!$B$2:$B$3928,0),11)</f>
        <v>71710000</v>
      </c>
      <c r="AQ188" s="24">
        <f>INDEX('[2]Cross-Section Database'!$C$2:$V$3928,MATCH(AJ188,'[2]Cross-Section Database'!$B$2:$B$3928,0),12)</f>
        <v>539400</v>
      </c>
      <c r="AR188" s="54">
        <v>10</v>
      </c>
      <c r="AS188" s="35">
        <v>270</v>
      </c>
      <c r="AT188" s="35">
        <v>324</v>
      </c>
      <c r="AU188" s="23">
        <v>10</v>
      </c>
      <c r="AV188" s="25">
        <v>10</v>
      </c>
      <c r="AW188" s="311" t="s">
        <v>5806</v>
      </c>
      <c r="AX188" s="311" t="s">
        <v>5986</v>
      </c>
      <c r="AY188" s="311">
        <v>50</v>
      </c>
      <c r="AZ188" s="311">
        <v>20</v>
      </c>
      <c r="BA188" s="311">
        <f t="shared" si="56"/>
        <v>245</v>
      </c>
      <c r="BB188" s="23">
        <v>72</v>
      </c>
      <c r="BC188" s="23">
        <v>72</v>
      </c>
      <c r="BD188" s="23">
        <v>100</v>
      </c>
      <c r="BE188" s="35">
        <v>60</v>
      </c>
      <c r="BF188" s="23">
        <v>0</v>
      </c>
      <c r="BG188" s="19" t="s">
        <v>4470</v>
      </c>
      <c r="BH188" s="311" t="s">
        <v>6204</v>
      </c>
      <c r="BI188" s="311" t="s">
        <v>6204</v>
      </c>
      <c r="BJ188" s="311">
        <v>2</v>
      </c>
      <c r="BK188" s="14">
        <v>6</v>
      </c>
      <c r="BL188" s="308">
        <v>125</v>
      </c>
      <c r="BM188" s="311">
        <v>1200</v>
      </c>
      <c r="BN188" s="311" t="s">
        <v>6189</v>
      </c>
      <c r="BO188" s="311">
        <v>1</v>
      </c>
      <c r="BP188" s="311">
        <v>180</v>
      </c>
      <c r="BQ188" s="311">
        <v>1678</v>
      </c>
      <c r="BR188" s="311">
        <v>52</v>
      </c>
      <c r="BS188" s="311" t="s">
        <v>4590</v>
      </c>
      <c r="BT188" s="308" t="s">
        <v>5855</v>
      </c>
      <c r="BU188" s="311">
        <v>9</v>
      </c>
      <c r="BV188" s="311">
        <v>1</v>
      </c>
      <c r="BW188" s="311">
        <v>19</v>
      </c>
      <c r="BX188" s="311">
        <v>100</v>
      </c>
      <c r="BY188" s="311">
        <v>100</v>
      </c>
      <c r="BZ188" s="14">
        <v>210</v>
      </c>
      <c r="CA188" s="308" t="s">
        <v>5992</v>
      </c>
      <c r="CB188" s="311" t="s">
        <v>6162</v>
      </c>
      <c r="CC188" s="33">
        <f>((BM188/250)+1)*PI()*8^2/4</f>
        <v>291.5397982531328</v>
      </c>
      <c r="CD188" s="35">
        <f>CF188*BM188*(BL188-BR188)</f>
        <v>805.92</v>
      </c>
      <c r="CE188" s="34">
        <v>25</v>
      </c>
      <c r="CF188" s="120">
        <v>9.1999999999999998E-3</v>
      </c>
      <c r="CG188" s="130" t="s">
        <v>5792</v>
      </c>
      <c r="CH188" s="86">
        <v>275</v>
      </c>
      <c r="CI188" s="23">
        <f t="shared" si="65"/>
        <v>357.5</v>
      </c>
      <c r="CJ188" s="86">
        <v>410</v>
      </c>
      <c r="CK188" s="23">
        <f t="shared" si="66"/>
        <v>507</v>
      </c>
      <c r="CL188" s="69">
        <v>200000</v>
      </c>
      <c r="CM188" s="130" t="s">
        <v>5792</v>
      </c>
      <c r="CN188" s="86">
        <v>275</v>
      </c>
      <c r="CO188" s="23">
        <f t="shared" si="67"/>
        <v>339</v>
      </c>
      <c r="CP188" s="86">
        <v>410</v>
      </c>
      <c r="CQ188" s="23">
        <f t="shared" si="68"/>
        <v>463</v>
      </c>
      <c r="CR188" s="69">
        <v>200000</v>
      </c>
      <c r="CS188" s="130" t="s">
        <v>5792</v>
      </c>
      <c r="CT188" s="86">
        <v>275</v>
      </c>
      <c r="CU188" s="55">
        <v>308</v>
      </c>
      <c r="CV188" s="86">
        <v>410</v>
      </c>
      <c r="CW188" s="55">
        <v>472</v>
      </c>
      <c r="CX188" s="69">
        <v>200000</v>
      </c>
      <c r="CY188" s="304" t="s">
        <v>5653</v>
      </c>
      <c r="CZ188" s="55">
        <v>42.64</v>
      </c>
      <c r="DA188" s="55">
        <v>3.19</v>
      </c>
      <c r="DB188" s="69">
        <v>35000</v>
      </c>
      <c r="DC188" s="308">
        <v>505</v>
      </c>
      <c r="DD188" s="311">
        <v>654</v>
      </c>
      <c r="DE188" s="69">
        <v>200000</v>
      </c>
      <c r="DF188" s="296">
        <v>550</v>
      </c>
      <c r="DG188" s="311">
        <v>8.8000000000000007</v>
      </c>
      <c r="DH188" s="311">
        <v>640</v>
      </c>
      <c r="DI188" s="34">
        <v>730</v>
      </c>
      <c r="DJ188" s="13">
        <v>800</v>
      </c>
      <c r="DK188" s="34">
        <v>940</v>
      </c>
      <c r="DL188" s="69">
        <v>200000</v>
      </c>
      <c r="DM188" s="27" t="s">
        <v>5991</v>
      </c>
      <c r="DN188" s="308" t="s">
        <v>4560</v>
      </c>
      <c r="DO188" s="307" t="s">
        <v>4565</v>
      </c>
    </row>
    <row r="189" spans="1:119" ht="15.6" customHeight="1">
      <c r="A189" s="300">
        <v>184</v>
      </c>
      <c r="B189" s="348">
        <v>28</v>
      </c>
      <c r="C189" s="348">
        <v>1999</v>
      </c>
      <c r="D189" s="458" t="s">
        <v>5630</v>
      </c>
      <c r="E189" s="373" t="s">
        <v>5637</v>
      </c>
      <c r="F189" s="348">
        <v>12</v>
      </c>
      <c r="G189" s="368" t="s">
        <v>5904</v>
      </c>
      <c r="H189" s="368" t="s">
        <v>5903</v>
      </c>
      <c r="I189" s="368" t="s">
        <v>6236</v>
      </c>
      <c r="J189" s="284" t="s">
        <v>4511</v>
      </c>
      <c r="K189" s="300" t="s">
        <v>4534</v>
      </c>
      <c r="L189" s="309" t="s">
        <v>6057</v>
      </c>
      <c r="M189" s="300" t="s">
        <v>4508</v>
      </c>
      <c r="N189" s="309" t="s">
        <v>4702</v>
      </c>
      <c r="O189" s="17" t="s">
        <v>4506</v>
      </c>
      <c r="P189" s="309" t="s">
        <v>6317</v>
      </c>
      <c r="Q189" s="309" t="s">
        <v>4420</v>
      </c>
      <c r="R189" s="309" t="s">
        <v>6317</v>
      </c>
      <c r="S189" s="309" t="s">
        <v>5791</v>
      </c>
      <c r="T189" s="64" t="s">
        <v>4420</v>
      </c>
      <c r="U189" s="64" t="s">
        <v>5791</v>
      </c>
      <c r="V189" s="64" t="s">
        <v>4420</v>
      </c>
      <c r="W189" s="64" t="s">
        <v>5791</v>
      </c>
      <c r="X189" s="309" t="s">
        <v>4420</v>
      </c>
      <c r="Y189" s="309" t="s">
        <v>5791</v>
      </c>
      <c r="Z189" s="30" t="s">
        <v>4558</v>
      </c>
      <c r="AA189" s="87">
        <v>6</v>
      </c>
      <c r="AB189" s="225">
        <v>0</v>
      </c>
      <c r="AC189" s="17">
        <v>0</v>
      </c>
      <c r="AD189" s="301" t="s">
        <v>5631</v>
      </c>
      <c r="AE189" s="21">
        <f>12*25.4</f>
        <v>304.79999999999995</v>
      </c>
      <c r="AF189" s="21">
        <f>8*25.4</f>
        <v>203.2</v>
      </c>
      <c r="AG189" s="21">
        <v>25.4</v>
      </c>
      <c r="AH189" s="21">
        <f>3/8*25.4</f>
        <v>9.5249999999999986</v>
      </c>
      <c r="AI189" s="21">
        <f>60*25.4</f>
        <v>1524</v>
      </c>
      <c r="AJ189" s="300" t="s">
        <v>5632</v>
      </c>
      <c r="AK189" s="16">
        <f>18*25.4</f>
        <v>457.2</v>
      </c>
      <c r="AL189" s="16">
        <f>6*25.4</f>
        <v>152.39999999999998</v>
      </c>
      <c r="AM189" s="16">
        <f>0.5*25.4</f>
        <v>12.7</v>
      </c>
      <c r="AN189" s="16">
        <f>0.25*25.4</f>
        <v>6.35</v>
      </c>
      <c r="AO189" s="16">
        <f>69.5*25.4</f>
        <v>1765.3</v>
      </c>
      <c r="AP189" s="16">
        <f t="shared" ref="AP189:AP207" si="69">AL189*AK189^3/12-(AL189-AN189)*(AK189-2*AM189)^3/12</f>
        <v>233861360.77096665</v>
      </c>
      <c r="AQ189" s="26">
        <f t="shared" ref="AQ189:AQ207" si="70">AL189*AK189^2/4-(AL189-AN189)*(AK189-2*AM189)^2/4</f>
        <v>1156312.2034999989</v>
      </c>
      <c r="AR189" s="16">
        <f>3/8*25.4</f>
        <v>9.5249999999999986</v>
      </c>
      <c r="AS189" s="16">
        <f>6*25.4</f>
        <v>152.39999999999998</v>
      </c>
      <c r="AT189" s="16">
        <f>18*25.4</f>
        <v>457.2</v>
      </c>
      <c r="AU189" s="16">
        <v>0</v>
      </c>
      <c r="AV189" s="16">
        <v>0</v>
      </c>
      <c r="AW189" s="300" t="s">
        <v>5806</v>
      </c>
      <c r="AX189" s="309" t="s">
        <v>5636</v>
      </c>
      <c r="AY189" s="16">
        <f t="shared" ref="AY189:AY200" si="71">0.7*DH189*BA189/1000</f>
        <v>107.968</v>
      </c>
      <c r="AZ189" s="16">
        <v>19.100000000000001</v>
      </c>
      <c r="BA189" s="309">
        <v>241</v>
      </c>
      <c r="BB189" s="16">
        <f>(1+5/8)*25.4</f>
        <v>41.274999999999999</v>
      </c>
      <c r="BC189" s="16">
        <f>(1+5/8)*25.4</f>
        <v>41.274999999999999</v>
      </c>
      <c r="BD189" s="16">
        <f>3*25.4</f>
        <v>76.199999999999989</v>
      </c>
      <c r="BE189" s="16">
        <f>3*25.4</f>
        <v>76.199999999999989</v>
      </c>
      <c r="BF189" s="16">
        <f>AT189-BB189-BC189-2*BD189</f>
        <v>222.25000000000006</v>
      </c>
      <c r="BG189" s="22" t="s">
        <v>6317</v>
      </c>
      <c r="BH189" s="309" t="s">
        <v>4465</v>
      </c>
      <c r="BI189" s="309" t="s">
        <v>4465</v>
      </c>
      <c r="BJ189" s="309">
        <v>4</v>
      </c>
      <c r="BK189" s="309">
        <v>8</v>
      </c>
      <c r="BL189" s="194" t="s">
        <v>5791</v>
      </c>
      <c r="BM189" s="195" t="s">
        <v>5791</v>
      </c>
      <c r="BN189" s="195" t="s">
        <v>5791</v>
      </c>
      <c r="BO189" s="195" t="s">
        <v>5791</v>
      </c>
      <c r="BP189" s="195" t="s">
        <v>5791</v>
      </c>
      <c r="BQ189" s="195" t="s">
        <v>5791</v>
      </c>
      <c r="BR189" s="195" t="s">
        <v>5791</v>
      </c>
      <c r="BS189" s="195" t="s">
        <v>5791</v>
      </c>
      <c r="BT189" s="194" t="s">
        <v>5791</v>
      </c>
      <c r="BU189" s="195" t="s">
        <v>5791</v>
      </c>
      <c r="BV189" s="195" t="s">
        <v>5791</v>
      </c>
      <c r="BW189" s="195" t="s">
        <v>5791</v>
      </c>
      <c r="BX189" s="195" t="s">
        <v>5791</v>
      </c>
      <c r="BY189" s="195" t="s">
        <v>5791</v>
      </c>
      <c r="BZ189" s="213" t="s">
        <v>5791</v>
      </c>
      <c r="CA189" s="195" t="s">
        <v>5791</v>
      </c>
      <c r="CB189" s="195" t="s">
        <v>5791</v>
      </c>
      <c r="CC189" s="195" t="s">
        <v>5791</v>
      </c>
      <c r="CD189" s="195" t="s">
        <v>5791</v>
      </c>
      <c r="CE189" s="195" t="s">
        <v>5791</v>
      </c>
      <c r="CF189" s="213" t="s">
        <v>5791</v>
      </c>
      <c r="CG189" s="105" t="s">
        <v>4535</v>
      </c>
      <c r="CH189" s="64">
        <v>345</v>
      </c>
      <c r="CI189" s="31">
        <f>CH189*1.1</f>
        <v>379.50000000000006</v>
      </c>
      <c r="CJ189" s="64">
        <v>450</v>
      </c>
      <c r="CK189" s="30">
        <v>495.00000000000006</v>
      </c>
      <c r="CL189" s="65">
        <v>200000</v>
      </c>
      <c r="CM189" s="105" t="s">
        <v>4535</v>
      </c>
      <c r="CN189" s="64">
        <v>345</v>
      </c>
      <c r="CO189" s="31">
        <f>CN189*1.1</f>
        <v>379.50000000000006</v>
      </c>
      <c r="CP189" s="64">
        <v>450</v>
      </c>
      <c r="CQ189" s="30">
        <v>495.00000000000006</v>
      </c>
      <c r="CR189" s="65">
        <v>200000</v>
      </c>
      <c r="CS189" s="105" t="s">
        <v>4535</v>
      </c>
      <c r="CT189" s="64">
        <v>345</v>
      </c>
      <c r="CU189" s="31">
        <f>CT189*1.1</f>
        <v>379.50000000000006</v>
      </c>
      <c r="CV189" s="64">
        <v>450</v>
      </c>
      <c r="CW189" s="30">
        <f>CV189*1.1</f>
        <v>495.00000000000006</v>
      </c>
      <c r="CX189" s="65">
        <v>200000</v>
      </c>
      <c r="CY189" s="198" t="s">
        <v>5791</v>
      </c>
      <c r="CZ189" s="199" t="s">
        <v>5791</v>
      </c>
      <c r="DA189" s="199" t="s">
        <v>5791</v>
      </c>
      <c r="DB189" s="200" t="s">
        <v>5791</v>
      </c>
      <c r="DC189" s="198" t="s">
        <v>5791</v>
      </c>
      <c r="DD189" s="199" t="s">
        <v>5791</v>
      </c>
      <c r="DE189" s="200" t="s">
        <v>5791</v>
      </c>
      <c r="DF189" s="273" t="s">
        <v>5791</v>
      </c>
      <c r="DG189" s="309" t="s">
        <v>4422</v>
      </c>
      <c r="DH189" s="309">
        <v>640</v>
      </c>
      <c r="DI189" s="30">
        <v>730</v>
      </c>
      <c r="DJ189" s="309">
        <v>800</v>
      </c>
      <c r="DK189" s="30">
        <v>940</v>
      </c>
      <c r="DL189" s="65">
        <v>200000</v>
      </c>
      <c r="DM189" s="28" t="s">
        <v>5838</v>
      </c>
      <c r="DN189" s="309" t="s">
        <v>4435</v>
      </c>
      <c r="DO189" s="305" t="s">
        <v>4565</v>
      </c>
    </row>
    <row r="190" spans="1:119">
      <c r="A190" s="301">
        <v>185</v>
      </c>
      <c r="B190" s="349"/>
      <c r="C190" s="349"/>
      <c r="D190" s="459"/>
      <c r="E190" s="374"/>
      <c r="F190" s="349"/>
      <c r="G190" s="369"/>
      <c r="H190" s="369"/>
      <c r="I190" s="369"/>
      <c r="J190" s="286" t="s">
        <v>4397</v>
      </c>
      <c r="K190" s="301" t="s">
        <v>4534</v>
      </c>
      <c r="L190" s="310" t="s">
        <v>6057</v>
      </c>
      <c r="M190" s="301" t="s">
        <v>4508</v>
      </c>
      <c r="N190" s="310" t="s">
        <v>4702</v>
      </c>
      <c r="O190" s="18" t="s">
        <v>4506</v>
      </c>
      <c r="P190" s="310" t="s">
        <v>6317</v>
      </c>
      <c r="Q190" s="310" t="s">
        <v>4420</v>
      </c>
      <c r="R190" s="310" t="s">
        <v>6317</v>
      </c>
      <c r="S190" s="310" t="s">
        <v>5791</v>
      </c>
      <c r="T190" s="59" t="s">
        <v>4420</v>
      </c>
      <c r="U190" s="59" t="s">
        <v>5791</v>
      </c>
      <c r="V190" s="59" t="s">
        <v>4420</v>
      </c>
      <c r="W190" s="59" t="s">
        <v>5791</v>
      </c>
      <c r="X190" s="310" t="s">
        <v>4420</v>
      </c>
      <c r="Y190" s="310" t="s">
        <v>5791</v>
      </c>
      <c r="Z190" s="32" t="s">
        <v>4558</v>
      </c>
      <c r="AA190" s="72">
        <v>6</v>
      </c>
      <c r="AB190" s="224">
        <v>0</v>
      </c>
      <c r="AC190" s="18">
        <v>0</v>
      </c>
      <c r="AD190" s="301" t="s">
        <v>5631</v>
      </c>
      <c r="AE190" s="21">
        <f t="shared" ref="AE190:AE200" si="72">12*25.4</f>
        <v>304.79999999999995</v>
      </c>
      <c r="AF190" s="21">
        <f t="shared" ref="AF190:AF200" si="73">8*25.4</f>
        <v>203.2</v>
      </c>
      <c r="AG190" s="21">
        <v>25.4</v>
      </c>
      <c r="AH190" s="21">
        <f t="shared" ref="AH190:AH200" si="74">3/8*25.4</f>
        <v>9.5249999999999986</v>
      </c>
      <c r="AI190" s="21">
        <f t="shared" ref="AI190:AI200" si="75">60*25.4</f>
        <v>1524</v>
      </c>
      <c r="AJ190" s="301" t="s">
        <v>5632</v>
      </c>
      <c r="AK190" s="21">
        <f t="shared" ref="AK190:AK191" si="76">18*25.4</f>
        <v>457.2</v>
      </c>
      <c r="AL190" s="21">
        <f t="shared" ref="AL190:AL191" si="77">6*25.4</f>
        <v>152.39999999999998</v>
      </c>
      <c r="AM190" s="21">
        <f t="shared" ref="AM190:AM191" si="78">0.5*25.4</f>
        <v>12.7</v>
      </c>
      <c r="AN190" s="21">
        <f t="shared" ref="AN190:AN191" si="79">0.25*25.4</f>
        <v>6.35</v>
      </c>
      <c r="AO190" s="21">
        <f t="shared" ref="AO190:AO200" si="80">69.5*25.4</f>
        <v>1765.3</v>
      </c>
      <c r="AP190" s="21">
        <f t="shared" si="69"/>
        <v>233861360.77096665</v>
      </c>
      <c r="AQ190" s="24">
        <f t="shared" si="70"/>
        <v>1156312.2034999989</v>
      </c>
      <c r="AR190" s="21">
        <f>0.5*25.4</f>
        <v>12.7</v>
      </c>
      <c r="AS190" s="21">
        <f t="shared" ref="AS190:AS191" si="81">6*25.4</f>
        <v>152.39999999999998</v>
      </c>
      <c r="AT190" s="21">
        <f t="shared" ref="AT190:AT194" si="82">18*25.4</f>
        <v>457.2</v>
      </c>
      <c r="AU190" s="21">
        <v>0</v>
      </c>
      <c r="AV190" s="21">
        <v>0</v>
      </c>
      <c r="AW190" s="301" t="s">
        <v>5806</v>
      </c>
      <c r="AX190" s="310" t="s">
        <v>5636</v>
      </c>
      <c r="AY190" s="21">
        <f t="shared" si="71"/>
        <v>107.968</v>
      </c>
      <c r="AZ190" s="21">
        <v>19.100000000000001</v>
      </c>
      <c r="BA190" s="310">
        <v>241</v>
      </c>
      <c r="BB190" s="21">
        <f t="shared" ref="BB190:BC191" si="83">(1+5/8)*25.4</f>
        <v>41.274999999999999</v>
      </c>
      <c r="BC190" s="21">
        <f t="shared" si="83"/>
        <v>41.274999999999999</v>
      </c>
      <c r="BD190" s="21">
        <f t="shared" ref="BD190:BE191" si="84">3*25.4</f>
        <v>76.199999999999989</v>
      </c>
      <c r="BE190" s="21">
        <f t="shared" si="84"/>
        <v>76.199999999999989</v>
      </c>
      <c r="BF190" s="21">
        <f t="shared" ref="BF190:BF200" si="85">AT190-BB190-BC190-2*BD190</f>
        <v>222.25000000000006</v>
      </c>
      <c r="BG190" s="15" t="s">
        <v>6317</v>
      </c>
      <c r="BH190" s="310" t="s">
        <v>4465</v>
      </c>
      <c r="BI190" s="310" t="s">
        <v>4465</v>
      </c>
      <c r="BJ190" s="310">
        <v>4</v>
      </c>
      <c r="BK190" s="310">
        <v>8</v>
      </c>
      <c r="BL190" s="196" t="s">
        <v>5791</v>
      </c>
      <c r="BM190" s="197" t="s">
        <v>5791</v>
      </c>
      <c r="BN190" s="197" t="s">
        <v>5791</v>
      </c>
      <c r="BO190" s="197" t="s">
        <v>5791</v>
      </c>
      <c r="BP190" s="197" t="s">
        <v>5791</v>
      </c>
      <c r="BQ190" s="197" t="s">
        <v>5791</v>
      </c>
      <c r="BR190" s="197" t="s">
        <v>5791</v>
      </c>
      <c r="BS190" s="197" t="s">
        <v>5791</v>
      </c>
      <c r="BT190" s="196" t="s">
        <v>5791</v>
      </c>
      <c r="BU190" s="197" t="s">
        <v>5791</v>
      </c>
      <c r="BV190" s="197" t="s">
        <v>5791</v>
      </c>
      <c r="BW190" s="197" t="s">
        <v>5791</v>
      </c>
      <c r="BX190" s="197" t="s">
        <v>5791</v>
      </c>
      <c r="BY190" s="197" t="s">
        <v>5791</v>
      </c>
      <c r="BZ190" s="212" t="s">
        <v>5791</v>
      </c>
      <c r="CA190" s="197" t="s">
        <v>5791</v>
      </c>
      <c r="CB190" s="197" t="s">
        <v>5791</v>
      </c>
      <c r="CC190" s="197" t="s">
        <v>5791</v>
      </c>
      <c r="CD190" s="197" t="s">
        <v>5791</v>
      </c>
      <c r="CE190" s="197" t="s">
        <v>5791</v>
      </c>
      <c r="CF190" s="212" t="s">
        <v>5791</v>
      </c>
      <c r="CG190" s="106" t="s">
        <v>4535</v>
      </c>
      <c r="CH190" s="59">
        <v>345</v>
      </c>
      <c r="CI190" s="33">
        <f t="shared" ref="CI190:CI200" si="86">CH190*1.1</f>
        <v>379.50000000000006</v>
      </c>
      <c r="CJ190" s="59">
        <v>450</v>
      </c>
      <c r="CK190" s="32">
        <v>495.00000000000006</v>
      </c>
      <c r="CL190" s="66">
        <v>200000</v>
      </c>
      <c r="CM190" s="106" t="s">
        <v>4535</v>
      </c>
      <c r="CN190" s="59">
        <v>345</v>
      </c>
      <c r="CO190" s="33">
        <f t="shared" ref="CO190:CO200" si="87">CN190*1.1</f>
        <v>379.50000000000006</v>
      </c>
      <c r="CP190" s="59">
        <v>450</v>
      </c>
      <c r="CQ190" s="32">
        <v>495.00000000000006</v>
      </c>
      <c r="CR190" s="66">
        <v>200000</v>
      </c>
      <c r="CS190" s="106" t="s">
        <v>4535</v>
      </c>
      <c r="CT190" s="59">
        <v>345</v>
      </c>
      <c r="CU190" s="21">
        <v>358.2</v>
      </c>
      <c r="CV190" s="59">
        <v>450</v>
      </c>
      <c r="CW190" s="32">
        <f t="shared" ref="CW190:CW200" si="88">CV190*1.1</f>
        <v>495.00000000000006</v>
      </c>
      <c r="CX190" s="66">
        <v>200000</v>
      </c>
      <c r="CY190" s="201" t="s">
        <v>5791</v>
      </c>
      <c r="CZ190" s="202" t="s">
        <v>5791</v>
      </c>
      <c r="DA190" s="202" t="s">
        <v>5791</v>
      </c>
      <c r="DB190" s="203" t="s">
        <v>5791</v>
      </c>
      <c r="DC190" s="201" t="s">
        <v>5791</v>
      </c>
      <c r="DD190" s="202" t="s">
        <v>5791</v>
      </c>
      <c r="DE190" s="203" t="s">
        <v>5791</v>
      </c>
      <c r="DF190" s="274" t="s">
        <v>5791</v>
      </c>
      <c r="DG190" s="310" t="s">
        <v>4422</v>
      </c>
      <c r="DH190" s="310">
        <v>640</v>
      </c>
      <c r="DI190" s="32">
        <v>730</v>
      </c>
      <c r="DJ190" s="310">
        <v>800</v>
      </c>
      <c r="DK190" s="32">
        <v>940</v>
      </c>
      <c r="DL190" s="66">
        <v>200000</v>
      </c>
      <c r="DM190" s="29" t="s">
        <v>5837</v>
      </c>
      <c r="DN190" s="310" t="s">
        <v>4435</v>
      </c>
      <c r="DO190" s="306" t="s">
        <v>4565</v>
      </c>
    </row>
    <row r="191" spans="1:119">
      <c r="A191" s="301">
        <v>186</v>
      </c>
      <c r="B191" s="349"/>
      <c r="C191" s="349"/>
      <c r="D191" s="459"/>
      <c r="E191" s="374"/>
      <c r="F191" s="349"/>
      <c r="G191" s="369"/>
      <c r="H191" s="369"/>
      <c r="I191" s="369"/>
      <c r="J191" s="286" t="s">
        <v>4398</v>
      </c>
      <c r="K191" s="301" t="s">
        <v>4534</v>
      </c>
      <c r="L191" s="310" t="s">
        <v>6057</v>
      </c>
      <c r="M191" s="301" t="s">
        <v>4508</v>
      </c>
      <c r="N191" s="310" t="s">
        <v>4702</v>
      </c>
      <c r="O191" s="18" t="s">
        <v>4506</v>
      </c>
      <c r="P191" s="310" t="s">
        <v>6317</v>
      </c>
      <c r="Q191" s="310" t="s">
        <v>4420</v>
      </c>
      <c r="R191" s="310" t="s">
        <v>6317</v>
      </c>
      <c r="S191" s="310" t="s">
        <v>5791</v>
      </c>
      <c r="T191" s="59" t="s">
        <v>4420</v>
      </c>
      <c r="U191" s="59" t="s">
        <v>5791</v>
      </c>
      <c r="V191" s="59" t="s">
        <v>4420</v>
      </c>
      <c r="W191" s="59" t="s">
        <v>5791</v>
      </c>
      <c r="X191" s="310" t="s">
        <v>4420</v>
      </c>
      <c r="Y191" s="310" t="s">
        <v>5791</v>
      </c>
      <c r="Z191" s="32" t="s">
        <v>4558</v>
      </c>
      <c r="AA191" s="72">
        <v>6</v>
      </c>
      <c r="AB191" s="224">
        <v>0</v>
      </c>
      <c r="AC191" s="18">
        <v>0</v>
      </c>
      <c r="AD191" s="301" t="s">
        <v>5631</v>
      </c>
      <c r="AE191" s="21">
        <f t="shared" si="72"/>
        <v>304.79999999999995</v>
      </c>
      <c r="AF191" s="21">
        <f t="shared" si="73"/>
        <v>203.2</v>
      </c>
      <c r="AG191" s="21">
        <v>25.4</v>
      </c>
      <c r="AH191" s="21">
        <f t="shared" si="74"/>
        <v>9.5249999999999986</v>
      </c>
      <c r="AI191" s="21">
        <f t="shared" si="75"/>
        <v>1524</v>
      </c>
      <c r="AJ191" s="301" t="s">
        <v>5632</v>
      </c>
      <c r="AK191" s="21">
        <f t="shared" si="76"/>
        <v>457.2</v>
      </c>
      <c r="AL191" s="21">
        <f t="shared" si="77"/>
        <v>152.39999999999998</v>
      </c>
      <c r="AM191" s="21">
        <f t="shared" si="78"/>
        <v>12.7</v>
      </c>
      <c r="AN191" s="21">
        <f t="shared" si="79"/>
        <v>6.35</v>
      </c>
      <c r="AO191" s="21">
        <f t="shared" si="80"/>
        <v>1765.3</v>
      </c>
      <c r="AP191" s="21">
        <f t="shared" si="69"/>
        <v>233861360.77096665</v>
      </c>
      <c r="AQ191" s="24">
        <f t="shared" si="70"/>
        <v>1156312.2034999989</v>
      </c>
      <c r="AR191" s="21">
        <f>5/8*25.4</f>
        <v>15.875</v>
      </c>
      <c r="AS191" s="21">
        <f t="shared" si="81"/>
        <v>152.39999999999998</v>
      </c>
      <c r="AT191" s="21">
        <f t="shared" si="82"/>
        <v>457.2</v>
      </c>
      <c r="AU191" s="21">
        <v>0</v>
      </c>
      <c r="AV191" s="21">
        <v>0</v>
      </c>
      <c r="AW191" s="301" t="s">
        <v>5806</v>
      </c>
      <c r="AX191" s="310" t="s">
        <v>5636</v>
      </c>
      <c r="AY191" s="21">
        <f t="shared" si="71"/>
        <v>107.968</v>
      </c>
      <c r="AZ191" s="21">
        <v>19.100000000000001</v>
      </c>
      <c r="BA191" s="310">
        <v>241</v>
      </c>
      <c r="BB191" s="21">
        <f t="shared" si="83"/>
        <v>41.274999999999999</v>
      </c>
      <c r="BC191" s="21">
        <f t="shared" si="83"/>
        <v>41.274999999999999</v>
      </c>
      <c r="BD191" s="21">
        <f t="shared" si="84"/>
        <v>76.199999999999989</v>
      </c>
      <c r="BE191" s="21">
        <f t="shared" si="84"/>
        <v>76.199999999999989</v>
      </c>
      <c r="BF191" s="21">
        <f t="shared" si="85"/>
        <v>222.25000000000006</v>
      </c>
      <c r="BG191" s="15" t="s">
        <v>6317</v>
      </c>
      <c r="BH191" s="310" t="s">
        <v>4465</v>
      </c>
      <c r="BI191" s="310" t="s">
        <v>4465</v>
      </c>
      <c r="BJ191" s="310">
        <v>4</v>
      </c>
      <c r="BK191" s="310">
        <v>8</v>
      </c>
      <c r="BL191" s="196" t="s">
        <v>5791</v>
      </c>
      <c r="BM191" s="197" t="s">
        <v>5791</v>
      </c>
      <c r="BN191" s="197" t="s">
        <v>5791</v>
      </c>
      <c r="BO191" s="197" t="s">
        <v>5791</v>
      </c>
      <c r="BP191" s="197" t="s">
        <v>5791</v>
      </c>
      <c r="BQ191" s="197" t="s">
        <v>5791</v>
      </c>
      <c r="BR191" s="197" t="s">
        <v>5791</v>
      </c>
      <c r="BS191" s="197" t="s">
        <v>5791</v>
      </c>
      <c r="BT191" s="196" t="s">
        <v>5791</v>
      </c>
      <c r="BU191" s="197" t="s">
        <v>5791</v>
      </c>
      <c r="BV191" s="197" t="s">
        <v>5791</v>
      </c>
      <c r="BW191" s="197" t="s">
        <v>5791</v>
      </c>
      <c r="BX191" s="197" t="s">
        <v>5791</v>
      </c>
      <c r="BY191" s="197" t="s">
        <v>5791</v>
      </c>
      <c r="BZ191" s="212" t="s">
        <v>5791</v>
      </c>
      <c r="CA191" s="197" t="s">
        <v>5791</v>
      </c>
      <c r="CB191" s="197" t="s">
        <v>5791</v>
      </c>
      <c r="CC191" s="197" t="s">
        <v>5791</v>
      </c>
      <c r="CD191" s="197" t="s">
        <v>5791</v>
      </c>
      <c r="CE191" s="197" t="s">
        <v>5791</v>
      </c>
      <c r="CF191" s="212" t="s">
        <v>5791</v>
      </c>
      <c r="CG191" s="106" t="s">
        <v>4535</v>
      </c>
      <c r="CH191" s="59">
        <v>345</v>
      </c>
      <c r="CI191" s="33">
        <f t="shared" si="86"/>
        <v>379.50000000000006</v>
      </c>
      <c r="CJ191" s="59">
        <v>450</v>
      </c>
      <c r="CK191" s="32">
        <v>495.00000000000006</v>
      </c>
      <c r="CL191" s="66">
        <v>200000</v>
      </c>
      <c r="CM191" s="106" t="s">
        <v>4535</v>
      </c>
      <c r="CN191" s="59">
        <v>345</v>
      </c>
      <c r="CO191" s="33">
        <f t="shared" si="87"/>
        <v>379.50000000000006</v>
      </c>
      <c r="CP191" s="59">
        <v>450</v>
      </c>
      <c r="CQ191" s="32">
        <v>495.00000000000006</v>
      </c>
      <c r="CR191" s="66">
        <v>200000</v>
      </c>
      <c r="CS191" s="106" t="s">
        <v>4535</v>
      </c>
      <c r="CT191" s="59">
        <v>345</v>
      </c>
      <c r="CU191" s="21">
        <v>372</v>
      </c>
      <c r="CV191" s="59">
        <v>450</v>
      </c>
      <c r="CW191" s="32">
        <f t="shared" si="88"/>
        <v>495.00000000000006</v>
      </c>
      <c r="CX191" s="66">
        <v>200000</v>
      </c>
      <c r="CY191" s="201" t="s">
        <v>5791</v>
      </c>
      <c r="CZ191" s="202" t="s">
        <v>5791</v>
      </c>
      <c r="DA191" s="202" t="s">
        <v>5791</v>
      </c>
      <c r="DB191" s="203" t="s">
        <v>5791</v>
      </c>
      <c r="DC191" s="201" t="s">
        <v>5791</v>
      </c>
      <c r="DD191" s="202" t="s">
        <v>5791</v>
      </c>
      <c r="DE191" s="203" t="s">
        <v>5791</v>
      </c>
      <c r="DF191" s="274" t="s">
        <v>5791</v>
      </c>
      <c r="DG191" s="310" t="s">
        <v>4422</v>
      </c>
      <c r="DH191" s="310">
        <v>640</v>
      </c>
      <c r="DI191" s="32">
        <v>730</v>
      </c>
      <c r="DJ191" s="310">
        <v>800</v>
      </c>
      <c r="DK191" s="32">
        <v>940</v>
      </c>
      <c r="DL191" s="66">
        <v>200000</v>
      </c>
      <c r="DM191" s="29" t="s">
        <v>5837</v>
      </c>
      <c r="DN191" s="310" t="s">
        <v>4435</v>
      </c>
      <c r="DO191" s="306" t="s">
        <v>4565</v>
      </c>
    </row>
    <row r="192" spans="1:119">
      <c r="A192" s="301">
        <v>187</v>
      </c>
      <c r="B192" s="349"/>
      <c r="C192" s="349"/>
      <c r="D192" s="459"/>
      <c r="E192" s="374"/>
      <c r="F192" s="349"/>
      <c r="G192" s="369"/>
      <c r="H192" s="369"/>
      <c r="I192" s="369"/>
      <c r="J192" s="286" t="s">
        <v>4399</v>
      </c>
      <c r="K192" s="301" t="s">
        <v>4534</v>
      </c>
      <c r="L192" s="310" t="s">
        <v>6057</v>
      </c>
      <c r="M192" s="301" t="s">
        <v>4508</v>
      </c>
      <c r="N192" s="310" t="s">
        <v>4702</v>
      </c>
      <c r="O192" s="18" t="s">
        <v>4506</v>
      </c>
      <c r="P192" s="310" t="s">
        <v>6317</v>
      </c>
      <c r="Q192" s="310" t="s">
        <v>4420</v>
      </c>
      <c r="R192" s="310" t="s">
        <v>4420</v>
      </c>
      <c r="S192" s="310" t="s">
        <v>5791</v>
      </c>
      <c r="T192" s="59" t="s">
        <v>4420</v>
      </c>
      <c r="U192" s="59" t="s">
        <v>5791</v>
      </c>
      <c r="V192" s="59" t="s">
        <v>4420</v>
      </c>
      <c r="W192" s="59" t="s">
        <v>5791</v>
      </c>
      <c r="X192" s="310" t="s">
        <v>4420</v>
      </c>
      <c r="Y192" s="310" t="s">
        <v>5791</v>
      </c>
      <c r="Z192" s="32" t="s">
        <v>4558</v>
      </c>
      <c r="AA192" s="72">
        <v>6</v>
      </c>
      <c r="AB192" s="224">
        <v>0</v>
      </c>
      <c r="AC192" s="18">
        <v>0</v>
      </c>
      <c r="AD192" s="301" t="s">
        <v>5631</v>
      </c>
      <c r="AE192" s="21">
        <f t="shared" si="72"/>
        <v>304.79999999999995</v>
      </c>
      <c r="AF192" s="21">
        <f t="shared" si="73"/>
        <v>203.2</v>
      </c>
      <c r="AG192" s="21">
        <v>25.4</v>
      </c>
      <c r="AH192" s="21">
        <f t="shared" si="74"/>
        <v>9.5249999999999986</v>
      </c>
      <c r="AI192" s="21">
        <f t="shared" si="75"/>
        <v>1524</v>
      </c>
      <c r="AJ192" s="301" t="s">
        <v>5633</v>
      </c>
      <c r="AK192" s="21">
        <f>18*25.4</f>
        <v>457.2</v>
      </c>
      <c r="AL192" s="21">
        <f>8*25.4</f>
        <v>203.2</v>
      </c>
      <c r="AM192" s="21">
        <f>0.5*25.4</f>
        <v>12.7</v>
      </c>
      <c r="AN192" s="21">
        <f>0.25*25.4</f>
        <v>6.35</v>
      </c>
      <c r="AO192" s="21">
        <f t="shared" si="80"/>
        <v>1765.3</v>
      </c>
      <c r="AP192" s="21">
        <f t="shared" si="69"/>
        <v>297614140.79203296</v>
      </c>
      <c r="AQ192" s="24">
        <f t="shared" si="70"/>
        <v>1443085.8234999981</v>
      </c>
      <c r="AR192" s="21">
        <f>3/8*25.4</f>
        <v>9.5249999999999986</v>
      </c>
      <c r="AS192" s="21">
        <f>8*25.4</f>
        <v>203.2</v>
      </c>
      <c r="AT192" s="21">
        <f t="shared" si="82"/>
        <v>457.2</v>
      </c>
      <c r="AU192" s="21">
        <v>0</v>
      </c>
      <c r="AV192" s="21">
        <v>0</v>
      </c>
      <c r="AW192" s="301" t="s">
        <v>5806</v>
      </c>
      <c r="AX192" s="310" t="s">
        <v>5636</v>
      </c>
      <c r="AY192" s="21">
        <f t="shared" si="71"/>
        <v>191.744</v>
      </c>
      <c r="AZ192" s="21">
        <v>25.4</v>
      </c>
      <c r="BA192" s="310">
        <v>428</v>
      </c>
      <c r="BB192" s="21">
        <f>(1+7/8)*25.4</f>
        <v>47.625</v>
      </c>
      <c r="BC192" s="21">
        <f>(1+7/8)*25.4</f>
        <v>47.625</v>
      </c>
      <c r="BD192" s="21">
        <f>3.5*25.4</f>
        <v>88.899999999999991</v>
      </c>
      <c r="BE192" s="21">
        <f>3.5*25.4</f>
        <v>88.899999999999991</v>
      </c>
      <c r="BF192" s="21">
        <f t="shared" si="85"/>
        <v>184.15</v>
      </c>
      <c r="BG192" s="15" t="s">
        <v>6317</v>
      </c>
      <c r="BH192" s="310" t="s">
        <v>4465</v>
      </c>
      <c r="BI192" s="310" t="s">
        <v>4465</v>
      </c>
      <c r="BJ192" s="310">
        <v>4</v>
      </c>
      <c r="BK192" s="310">
        <v>8</v>
      </c>
      <c r="BL192" s="196" t="s">
        <v>5791</v>
      </c>
      <c r="BM192" s="197" t="s">
        <v>5791</v>
      </c>
      <c r="BN192" s="197" t="s">
        <v>5791</v>
      </c>
      <c r="BO192" s="197" t="s">
        <v>5791</v>
      </c>
      <c r="BP192" s="197" t="s">
        <v>5791</v>
      </c>
      <c r="BQ192" s="197" t="s">
        <v>5791</v>
      </c>
      <c r="BR192" s="197" t="s">
        <v>5791</v>
      </c>
      <c r="BS192" s="197" t="s">
        <v>5791</v>
      </c>
      <c r="BT192" s="196" t="s">
        <v>5791</v>
      </c>
      <c r="BU192" s="197" t="s">
        <v>5791</v>
      </c>
      <c r="BV192" s="197" t="s">
        <v>5791</v>
      </c>
      <c r="BW192" s="197" t="s">
        <v>5791</v>
      </c>
      <c r="BX192" s="197" t="s">
        <v>5791</v>
      </c>
      <c r="BY192" s="197" t="s">
        <v>5791</v>
      </c>
      <c r="BZ192" s="212" t="s">
        <v>5791</v>
      </c>
      <c r="CA192" s="197" t="s">
        <v>5791</v>
      </c>
      <c r="CB192" s="197" t="s">
        <v>5791</v>
      </c>
      <c r="CC192" s="197" t="s">
        <v>5791</v>
      </c>
      <c r="CD192" s="197" t="s">
        <v>5791</v>
      </c>
      <c r="CE192" s="197" t="s">
        <v>5791</v>
      </c>
      <c r="CF192" s="212" t="s">
        <v>5791</v>
      </c>
      <c r="CG192" s="106" t="s">
        <v>4535</v>
      </c>
      <c r="CH192" s="59">
        <v>345</v>
      </c>
      <c r="CI192" s="33">
        <f t="shared" si="86"/>
        <v>379.50000000000006</v>
      </c>
      <c r="CJ192" s="59">
        <v>450</v>
      </c>
      <c r="CK192" s="32">
        <v>495.00000000000006</v>
      </c>
      <c r="CL192" s="66">
        <v>200000</v>
      </c>
      <c r="CM192" s="106" t="s">
        <v>4535</v>
      </c>
      <c r="CN192" s="59">
        <v>345</v>
      </c>
      <c r="CO192" s="33">
        <f t="shared" si="87"/>
        <v>379.50000000000006</v>
      </c>
      <c r="CP192" s="59">
        <v>450</v>
      </c>
      <c r="CQ192" s="32">
        <v>495.00000000000006</v>
      </c>
      <c r="CR192" s="66">
        <v>200000</v>
      </c>
      <c r="CS192" s="106" t="s">
        <v>4535</v>
      </c>
      <c r="CT192" s="59">
        <v>345</v>
      </c>
      <c r="CU192" s="21">
        <v>365.1</v>
      </c>
      <c r="CV192" s="59">
        <v>450</v>
      </c>
      <c r="CW192" s="32">
        <f t="shared" si="88"/>
        <v>495.00000000000006</v>
      </c>
      <c r="CX192" s="66">
        <v>200000</v>
      </c>
      <c r="CY192" s="201" t="s">
        <v>5791</v>
      </c>
      <c r="CZ192" s="202" t="s">
        <v>5791</v>
      </c>
      <c r="DA192" s="202" t="s">
        <v>5791</v>
      </c>
      <c r="DB192" s="203" t="s">
        <v>5791</v>
      </c>
      <c r="DC192" s="201" t="s">
        <v>5791</v>
      </c>
      <c r="DD192" s="202" t="s">
        <v>5791</v>
      </c>
      <c r="DE192" s="203" t="s">
        <v>5791</v>
      </c>
      <c r="DF192" s="274" t="s">
        <v>5791</v>
      </c>
      <c r="DG192" s="310" t="s">
        <v>4422</v>
      </c>
      <c r="DH192" s="310">
        <v>640</v>
      </c>
      <c r="DI192" s="32">
        <v>730</v>
      </c>
      <c r="DJ192" s="310">
        <v>800</v>
      </c>
      <c r="DK192" s="32">
        <v>940</v>
      </c>
      <c r="DL192" s="66">
        <v>200000</v>
      </c>
      <c r="DM192" s="29" t="s">
        <v>5838</v>
      </c>
      <c r="DN192" s="310" t="s">
        <v>4435</v>
      </c>
      <c r="DO192" s="306" t="s">
        <v>4565</v>
      </c>
    </row>
    <row r="193" spans="1:119">
      <c r="A193" s="301">
        <v>188</v>
      </c>
      <c r="B193" s="349"/>
      <c r="C193" s="349"/>
      <c r="D193" s="459"/>
      <c r="E193" s="374"/>
      <c r="F193" s="349"/>
      <c r="G193" s="369"/>
      <c r="H193" s="369"/>
      <c r="I193" s="369"/>
      <c r="J193" s="286" t="s">
        <v>4400</v>
      </c>
      <c r="K193" s="301" t="s">
        <v>4534</v>
      </c>
      <c r="L193" s="310" t="s">
        <v>6057</v>
      </c>
      <c r="M193" s="301" t="s">
        <v>4508</v>
      </c>
      <c r="N193" s="310" t="s">
        <v>4702</v>
      </c>
      <c r="O193" s="18" t="s">
        <v>4506</v>
      </c>
      <c r="P193" s="310" t="s">
        <v>6317</v>
      </c>
      <c r="Q193" s="310" t="s">
        <v>4420</v>
      </c>
      <c r="R193" s="310" t="s">
        <v>4420</v>
      </c>
      <c r="S193" s="310" t="s">
        <v>5791</v>
      </c>
      <c r="T193" s="59" t="s">
        <v>4420</v>
      </c>
      <c r="U193" s="59" t="s">
        <v>5791</v>
      </c>
      <c r="V193" s="59" t="s">
        <v>4420</v>
      </c>
      <c r="W193" s="59" t="s">
        <v>5791</v>
      </c>
      <c r="X193" s="310" t="s">
        <v>4420</v>
      </c>
      <c r="Y193" s="310" t="s">
        <v>5791</v>
      </c>
      <c r="Z193" s="32" t="s">
        <v>4558</v>
      </c>
      <c r="AA193" s="72">
        <v>6</v>
      </c>
      <c r="AB193" s="224">
        <v>0</v>
      </c>
      <c r="AC193" s="18">
        <v>0</v>
      </c>
      <c r="AD193" s="301" t="s">
        <v>5631</v>
      </c>
      <c r="AE193" s="21">
        <f t="shared" si="72"/>
        <v>304.79999999999995</v>
      </c>
      <c r="AF193" s="21">
        <f t="shared" si="73"/>
        <v>203.2</v>
      </c>
      <c r="AG193" s="21">
        <v>25.4</v>
      </c>
      <c r="AH193" s="21">
        <f t="shared" si="74"/>
        <v>9.5249999999999986</v>
      </c>
      <c r="AI193" s="21">
        <f t="shared" si="75"/>
        <v>1524</v>
      </c>
      <c r="AJ193" s="301" t="s">
        <v>5633</v>
      </c>
      <c r="AK193" s="21">
        <f t="shared" ref="AK193:AK194" si="89">18*25.4</f>
        <v>457.2</v>
      </c>
      <c r="AL193" s="21">
        <f t="shared" ref="AL193:AL194" si="90">8*25.4</f>
        <v>203.2</v>
      </c>
      <c r="AM193" s="21">
        <f t="shared" ref="AM193:AM200" si="91">0.5*25.4</f>
        <v>12.7</v>
      </c>
      <c r="AN193" s="21">
        <f t="shared" ref="AN193:AN200" si="92">0.25*25.4</f>
        <v>6.35</v>
      </c>
      <c r="AO193" s="21">
        <f t="shared" si="80"/>
        <v>1765.3</v>
      </c>
      <c r="AP193" s="21">
        <f t="shared" si="69"/>
        <v>297614140.79203296</v>
      </c>
      <c r="AQ193" s="24">
        <f t="shared" si="70"/>
        <v>1443085.8234999981</v>
      </c>
      <c r="AR193" s="21">
        <f>0.5*25.4</f>
        <v>12.7</v>
      </c>
      <c r="AS193" s="21">
        <f t="shared" ref="AS193:AS194" si="93">8*25.4</f>
        <v>203.2</v>
      </c>
      <c r="AT193" s="21">
        <f t="shared" si="82"/>
        <v>457.2</v>
      </c>
      <c r="AU193" s="21">
        <v>0</v>
      </c>
      <c r="AV193" s="21">
        <v>0</v>
      </c>
      <c r="AW193" s="301" t="s">
        <v>5806</v>
      </c>
      <c r="AX193" s="310" t="s">
        <v>5636</v>
      </c>
      <c r="AY193" s="21">
        <f t="shared" si="71"/>
        <v>191.744</v>
      </c>
      <c r="AZ193" s="21">
        <v>25.4</v>
      </c>
      <c r="BA193" s="310">
        <v>428</v>
      </c>
      <c r="BB193" s="21">
        <f t="shared" ref="BB193:BC194" si="94">(1+7/8)*25.4</f>
        <v>47.625</v>
      </c>
      <c r="BC193" s="21">
        <f t="shared" si="94"/>
        <v>47.625</v>
      </c>
      <c r="BD193" s="21">
        <f t="shared" ref="BD193:BE194" si="95">3.5*25.4</f>
        <v>88.899999999999991</v>
      </c>
      <c r="BE193" s="21">
        <f t="shared" si="95"/>
        <v>88.899999999999991</v>
      </c>
      <c r="BF193" s="21">
        <f t="shared" si="85"/>
        <v>184.15</v>
      </c>
      <c r="BG193" s="15" t="s">
        <v>6317</v>
      </c>
      <c r="BH193" s="310" t="s">
        <v>4465</v>
      </c>
      <c r="BI193" s="310" t="s">
        <v>4465</v>
      </c>
      <c r="BJ193" s="310">
        <v>4</v>
      </c>
      <c r="BK193" s="310">
        <v>8</v>
      </c>
      <c r="BL193" s="196" t="s">
        <v>5791</v>
      </c>
      <c r="BM193" s="197" t="s">
        <v>5791</v>
      </c>
      <c r="BN193" s="197" t="s">
        <v>5791</v>
      </c>
      <c r="BO193" s="197" t="s">
        <v>5791</v>
      </c>
      <c r="BP193" s="197" t="s">
        <v>5791</v>
      </c>
      <c r="BQ193" s="197" t="s">
        <v>5791</v>
      </c>
      <c r="BR193" s="197" t="s">
        <v>5791</v>
      </c>
      <c r="BS193" s="197" t="s">
        <v>5791</v>
      </c>
      <c r="BT193" s="196" t="s">
        <v>5791</v>
      </c>
      <c r="BU193" s="197" t="s">
        <v>5791</v>
      </c>
      <c r="BV193" s="197" t="s">
        <v>5791</v>
      </c>
      <c r="BW193" s="197" t="s">
        <v>5791</v>
      </c>
      <c r="BX193" s="197" t="s">
        <v>5791</v>
      </c>
      <c r="BY193" s="197" t="s">
        <v>5791</v>
      </c>
      <c r="BZ193" s="212" t="s">
        <v>5791</v>
      </c>
      <c r="CA193" s="197" t="s">
        <v>5791</v>
      </c>
      <c r="CB193" s="197" t="s">
        <v>5791</v>
      </c>
      <c r="CC193" s="197" t="s">
        <v>5791</v>
      </c>
      <c r="CD193" s="197" t="s">
        <v>5791</v>
      </c>
      <c r="CE193" s="197" t="s">
        <v>5791</v>
      </c>
      <c r="CF193" s="212" t="s">
        <v>5791</v>
      </c>
      <c r="CG193" s="106" t="s">
        <v>4535</v>
      </c>
      <c r="CH193" s="59">
        <v>345</v>
      </c>
      <c r="CI193" s="33">
        <f t="shared" si="86"/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4535</v>
      </c>
      <c r="CN193" s="59">
        <v>345</v>
      </c>
      <c r="CO193" s="33">
        <f t="shared" si="87"/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4535</v>
      </c>
      <c r="CT193" s="59">
        <v>345</v>
      </c>
      <c r="CU193" s="21">
        <v>337.6</v>
      </c>
      <c r="CV193" s="59">
        <v>450</v>
      </c>
      <c r="CW193" s="32">
        <f t="shared" si="88"/>
        <v>495.00000000000006</v>
      </c>
      <c r="CX193" s="66">
        <v>200000</v>
      </c>
      <c r="CY193" s="201" t="s">
        <v>5791</v>
      </c>
      <c r="CZ193" s="202" t="s">
        <v>5791</v>
      </c>
      <c r="DA193" s="202" t="s">
        <v>5791</v>
      </c>
      <c r="DB193" s="203" t="s">
        <v>5791</v>
      </c>
      <c r="DC193" s="201" t="s">
        <v>5791</v>
      </c>
      <c r="DD193" s="202" t="s">
        <v>5791</v>
      </c>
      <c r="DE193" s="203" t="s">
        <v>5791</v>
      </c>
      <c r="DF193" s="274" t="s">
        <v>5791</v>
      </c>
      <c r="DG193" s="310" t="s">
        <v>4422</v>
      </c>
      <c r="DH193" s="310">
        <v>640</v>
      </c>
      <c r="DI193" s="32">
        <v>730</v>
      </c>
      <c r="DJ193" s="310">
        <v>800</v>
      </c>
      <c r="DK193" s="32">
        <v>940</v>
      </c>
      <c r="DL193" s="66">
        <v>200000</v>
      </c>
      <c r="DM193" s="29" t="s">
        <v>5837</v>
      </c>
      <c r="DN193" s="310" t="s">
        <v>4435</v>
      </c>
      <c r="DO193" s="306" t="s">
        <v>4565</v>
      </c>
    </row>
    <row r="194" spans="1:119">
      <c r="A194" s="301">
        <v>189</v>
      </c>
      <c r="B194" s="349"/>
      <c r="C194" s="349"/>
      <c r="D194" s="459"/>
      <c r="E194" s="374"/>
      <c r="F194" s="349"/>
      <c r="G194" s="369"/>
      <c r="H194" s="369"/>
      <c r="I194" s="369"/>
      <c r="J194" s="286" t="s">
        <v>4401</v>
      </c>
      <c r="K194" s="301" t="s">
        <v>4534</v>
      </c>
      <c r="L194" s="310" t="s">
        <v>6057</v>
      </c>
      <c r="M194" s="301" t="s">
        <v>4508</v>
      </c>
      <c r="N194" s="310" t="s">
        <v>4702</v>
      </c>
      <c r="O194" s="18" t="s">
        <v>4506</v>
      </c>
      <c r="P194" s="310" t="s">
        <v>6317</v>
      </c>
      <c r="Q194" s="310" t="s">
        <v>4420</v>
      </c>
      <c r="R194" s="310" t="s">
        <v>4420</v>
      </c>
      <c r="S194" s="310" t="s">
        <v>5791</v>
      </c>
      <c r="T194" s="59" t="s">
        <v>4420</v>
      </c>
      <c r="U194" s="59" t="s">
        <v>5791</v>
      </c>
      <c r="V194" s="59" t="s">
        <v>4420</v>
      </c>
      <c r="W194" s="59" t="s">
        <v>5791</v>
      </c>
      <c r="X194" s="310" t="s">
        <v>4420</v>
      </c>
      <c r="Y194" s="310" t="s">
        <v>5791</v>
      </c>
      <c r="Z194" s="32" t="s">
        <v>4558</v>
      </c>
      <c r="AA194" s="72">
        <v>6</v>
      </c>
      <c r="AB194" s="224">
        <v>0</v>
      </c>
      <c r="AC194" s="18">
        <v>0</v>
      </c>
      <c r="AD194" s="301" t="s">
        <v>5631</v>
      </c>
      <c r="AE194" s="21">
        <f t="shared" si="72"/>
        <v>304.79999999999995</v>
      </c>
      <c r="AF194" s="21">
        <f t="shared" si="73"/>
        <v>203.2</v>
      </c>
      <c r="AG194" s="21">
        <v>25.4</v>
      </c>
      <c r="AH194" s="21">
        <f t="shared" si="74"/>
        <v>9.5249999999999986</v>
      </c>
      <c r="AI194" s="21">
        <f t="shared" si="75"/>
        <v>1524</v>
      </c>
      <c r="AJ194" s="301" t="s">
        <v>5633</v>
      </c>
      <c r="AK194" s="21">
        <f t="shared" si="89"/>
        <v>457.2</v>
      </c>
      <c r="AL194" s="21">
        <f t="shared" si="90"/>
        <v>203.2</v>
      </c>
      <c r="AM194" s="21">
        <f t="shared" si="91"/>
        <v>12.7</v>
      </c>
      <c r="AN194" s="21">
        <f t="shared" si="92"/>
        <v>6.35</v>
      </c>
      <c r="AO194" s="21">
        <f t="shared" si="80"/>
        <v>1765.3</v>
      </c>
      <c r="AP194" s="21">
        <f t="shared" si="69"/>
        <v>297614140.79203296</v>
      </c>
      <c r="AQ194" s="24">
        <f t="shared" si="70"/>
        <v>1443085.8234999981</v>
      </c>
      <c r="AR194" s="21">
        <f>3/4*25.4</f>
        <v>19.049999999999997</v>
      </c>
      <c r="AS194" s="21">
        <f t="shared" si="93"/>
        <v>203.2</v>
      </c>
      <c r="AT194" s="21">
        <f t="shared" si="82"/>
        <v>457.2</v>
      </c>
      <c r="AU194" s="21">
        <v>0</v>
      </c>
      <c r="AV194" s="21">
        <v>0</v>
      </c>
      <c r="AW194" s="301" t="s">
        <v>5806</v>
      </c>
      <c r="AX194" s="310" t="s">
        <v>5636</v>
      </c>
      <c r="AY194" s="21">
        <f t="shared" si="71"/>
        <v>191.744</v>
      </c>
      <c r="AZ194" s="21">
        <v>25.4</v>
      </c>
      <c r="BA194" s="310">
        <v>428</v>
      </c>
      <c r="BB194" s="21">
        <f t="shared" si="94"/>
        <v>47.625</v>
      </c>
      <c r="BC194" s="21">
        <f t="shared" si="94"/>
        <v>47.625</v>
      </c>
      <c r="BD194" s="21">
        <f t="shared" si="95"/>
        <v>88.899999999999991</v>
      </c>
      <c r="BE194" s="21">
        <f t="shared" si="95"/>
        <v>88.899999999999991</v>
      </c>
      <c r="BF194" s="21">
        <f t="shared" si="85"/>
        <v>184.15</v>
      </c>
      <c r="BG194" s="15" t="s">
        <v>6317</v>
      </c>
      <c r="BH194" s="310" t="s">
        <v>4465</v>
      </c>
      <c r="BI194" s="310" t="s">
        <v>4465</v>
      </c>
      <c r="BJ194" s="310">
        <v>4</v>
      </c>
      <c r="BK194" s="310">
        <v>8</v>
      </c>
      <c r="BL194" s="196" t="s">
        <v>5791</v>
      </c>
      <c r="BM194" s="197" t="s">
        <v>5791</v>
      </c>
      <c r="BN194" s="197" t="s">
        <v>5791</v>
      </c>
      <c r="BO194" s="197" t="s">
        <v>5791</v>
      </c>
      <c r="BP194" s="197" t="s">
        <v>5791</v>
      </c>
      <c r="BQ194" s="197" t="s">
        <v>5791</v>
      </c>
      <c r="BR194" s="197" t="s">
        <v>5791</v>
      </c>
      <c r="BS194" s="197" t="s">
        <v>5791</v>
      </c>
      <c r="BT194" s="196" t="s">
        <v>5791</v>
      </c>
      <c r="BU194" s="197" t="s">
        <v>5791</v>
      </c>
      <c r="BV194" s="197" t="s">
        <v>5791</v>
      </c>
      <c r="BW194" s="197" t="s">
        <v>5791</v>
      </c>
      <c r="BX194" s="197" t="s">
        <v>5791</v>
      </c>
      <c r="BY194" s="197" t="s">
        <v>5791</v>
      </c>
      <c r="BZ194" s="212" t="s">
        <v>5791</v>
      </c>
      <c r="CA194" s="197" t="s">
        <v>5791</v>
      </c>
      <c r="CB194" s="197" t="s">
        <v>5791</v>
      </c>
      <c r="CC194" s="197" t="s">
        <v>5791</v>
      </c>
      <c r="CD194" s="197" t="s">
        <v>5791</v>
      </c>
      <c r="CE194" s="197" t="s">
        <v>5791</v>
      </c>
      <c r="CF194" s="212" t="s">
        <v>5791</v>
      </c>
      <c r="CG194" s="106" t="s">
        <v>4535</v>
      </c>
      <c r="CH194" s="59">
        <v>345</v>
      </c>
      <c r="CI194" s="33">
        <f t="shared" si="86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4535</v>
      </c>
      <c r="CN194" s="59">
        <v>345</v>
      </c>
      <c r="CO194" s="33">
        <f t="shared" si="87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4535</v>
      </c>
      <c r="CT194" s="59">
        <v>345</v>
      </c>
      <c r="CU194" s="33">
        <f t="shared" ref="CU194" si="96">CT194*1.1</f>
        <v>379.50000000000006</v>
      </c>
      <c r="CV194" s="59">
        <v>450</v>
      </c>
      <c r="CW194" s="32">
        <f t="shared" si="88"/>
        <v>495.00000000000006</v>
      </c>
      <c r="CX194" s="66">
        <v>200000</v>
      </c>
      <c r="CY194" s="201" t="s">
        <v>5791</v>
      </c>
      <c r="CZ194" s="202" t="s">
        <v>5791</v>
      </c>
      <c r="DA194" s="202" t="s">
        <v>5791</v>
      </c>
      <c r="DB194" s="203" t="s">
        <v>5791</v>
      </c>
      <c r="DC194" s="201" t="s">
        <v>5791</v>
      </c>
      <c r="DD194" s="202" t="s">
        <v>5791</v>
      </c>
      <c r="DE194" s="203" t="s">
        <v>5791</v>
      </c>
      <c r="DF194" s="274" t="s">
        <v>5791</v>
      </c>
      <c r="DG194" s="310" t="s">
        <v>4422</v>
      </c>
      <c r="DH194" s="310">
        <v>640</v>
      </c>
      <c r="DI194" s="32">
        <v>730</v>
      </c>
      <c r="DJ194" s="310">
        <v>800</v>
      </c>
      <c r="DK194" s="32">
        <v>940</v>
      </c>
      <c r="DL194" s="66">
        <v>200000</v>
      </c>
      <c r="DM194" s="29" t="s">
        <v>5837</v>
      </c>
      <c r="DN194" s="310" t="s">
        <v>4435</v>
      </c>
      <c r="DO194" s="306" t="s">
        <v>4565</v>
      </c>
    </row>
    <row r="195" spans="1:119">
      <c r="A195" s="301">
        <v>190</v>
      </c>
      <c r="B195" s="349"/>
      <c r="C195" s="349"/>
      <c r="D195" s="459"/>
      <c r="E195" s="374"/>
      <c r="F195" s="349"/>
      <c r="G195" s="369"/>
      <c r="H195" s="369"/>
      <c r="I195" s="369"/>
      <c r="J195" s="286" t="s">
        <v>4402</v>
      </c>
      <c r="K195" s="301" t="s">
        <v>4534</v>
      </c>
      <c r="L195" s="310" t="s">
        <v>6057</v>
      </c>
      <c r="M195" s="301" t="s">
        <v>4508</v>
      </c>
      <c r="N195" s="310" t="s">
        <v>4702</v>
      </c>
      <c r="O195" s="18" t="s">
        <v>4506</v>
      </c>
      <c r="P195" s="310" t="s">
        <v>6317</v>
      </c>
      <c r="Q195" s="310" t="s">
        <v>4420</v>
      </c>
      <c r="R195" s="310" t="s">
        <v>4420</v>
      </c>
      <c r="S195" s="310" t="s">
        <v>5791</v>
      </c>
      <c r="T195" s="59" t="s">
        <v>4420</v>
      </c>
      <c r="U195" s="59" t="s">
        <v>5791</v>
      </c>
      <c r="V195" s="59" t="s">
        <v>4420</v>
      </c>
      <c r="W195" s="59" t="s">
        <v>5791</v>
      </c>
      <c r="X195" s="310" t="s">
        <v>4420</v>
      </c>
      <c r="Y195" s="310" t="s">
        <v>5791</v>
      </c>
      <c r="Z195" s="32" t="s">
        <v>4558</v>
      </c>
      <c r="AA195" s="72">
        <v>6</v>
      </c>
      <c r="AB195" s="224">
        <v>0</v>
      </c>
      <c r="AC195" s="18">
        <v>0</v>
      </c>
      <c r="AD195" s="301" t="s">
        <v>5631</v>
      </c>
      <c r="AE195" s="21">
        <f t="shared" si="72"/>
        <v>304.79999999999995</v>
      </c>
      <c r="AF195" s="21">
        <f t="shared" si="73"/>
        <v>203.2</v>
      </c>
      <c r="AG195" s="21">
        <v>25.4</v>
      </c>
      <c r="AH195" s="21">
        <f t="shared" si="74"/>
        <v>9.5249999999999986</v>
      </c>
      <c r="AI195" s="21">
        <f t="shared" si="75"/>
        <v>1524</v>
      </c>
      <c r="AJ195" s="301" t="s">
        <v>5635</v>
      </c>
      <c r="AK195" s="21">
        <f>22*25.4</f>
        <v>558.79999999999995</v>
      </c>
      <c r="AL195" s="21">
        <f>6*25.4</f>
        <v>152.39999999999998</v>
      </c>
      <c r="AM195" s="21">
        <f t="shared" si="91"/>
        <v>12.7</v>
      </c>
      <c r="AN195" s="21">
        <f t="shared" si="92"/>
        <v>6.35</v>
      </c>
      <c r="AO195" s="21">
        <f t="shared" si="80"/>
        <v>1765.3</v>
      </c>
      <c r="AP195" s="21">
        <f t="shared" si="69"/>
        <v>368963144.33029962</v>
      </c>
      <c r="AQ195" s="24">
        <f t="shared" si="70"/>
        <v>1508634.0794999972</v>
      </c>
      <c r="AR195" s="21">
        <f>3/8*25.4</f>
        <v>9.5249999999999986</v>
      </c>
      <c r="AS195" s="21">
        <f>6*25.4</f>
        <v>152.39999999999998</v>
      </c>
      <c r="AT195" s="21">
        <f>22*25.4</f>
        <v>558.79999999999995</v>
      </c>
      <c r="AU195" s="21">
        <v>0</v>
      </c>
      <c r="AV195" s="21">
        <v>0</v>
      </c>
      <c r="AW195" s="301" t="s">
        <v>5806</v>
      </c>
      <c r="AX195" s="310" t="s">
        <v>5636</v>
      </c>
      <c r="AY195" s="21">
        <f t="shared" si="71"/>
        <v>107.968</v>
      </c>
      <c r="AZ195" s="21">
        <v>19.100000000000001</v>
      </c>
      <c r="BA195" s="310">
        <v>241</v>
      </c>
      <c r="BB195" s="21">
        <f t="shared" ref="BB195:BC197" si="97">(1+5/8)*25.4</f>
        <v>41.274999999999999</v>
      </c>
      <c r="BC195" s="21">
        <f t="shared" si="97"/>
        <v>41.274999999999999</v>
      </c>
      <c r="BD195" s="21">
        <f>3*25.4</f>
        <v>76.199999999999989</v>
      </c>
      <c r="BE195" s="21">
        <f>3*25.4</f>
        <v>76.199999999999989</v>
      </c>
      <c r="BF195" s="21">
        <f t="shared" si="85"/>
        <v>323.85000000000002</v>
      </c>
      <c r="BG195" s="15" t="s">
        <v>6317</v>
      </c>
      <c r="BH195" s="310" t="s">
        <v>4465</v>
      </c>
      <c r="BI195" s="310" t="s">
        <v>4465</v>
      </c>
      <c r="BJ195" s="310">
        <v>4</v>
      </c>
      <c r="BK195" s="310">
        <v>8</v>
      </c>
      <c r="BL195" s="196" t="s">
        <v>5791</v>
      </c>
      <c r="BM195" s="197" t="s">
        <v>5791</v>
      </c>
      <c r="BN195" s="197" t="s">
        <v>5791</v>
      </c>
      <c r="BO195" s="197" t="s">
        <v>5791</v>
      </c>
      <c r="BP195" s="197" t="s">
        <v>5791</v>
      </c>
      <c r="BQ195" s="197" t="s">
        <v>5791</v>
      </c>
      <c r="BR195" s="197" t="s">
        <v>5791</v>
      </c>
      <c r="BS195" s="197" t="s">
        <v>5791</v>
      </c>
      <c r="BT195" s="196" t="s">
        <v>5791</v>
      </c>
      <c r="BU195" s="197" t="s">
        <v>5791</v>
      </c>
      <c r="BV195" s="197" t="s">
        <v>5791</v>
      </c>
      <c r="BW195" s="197" t="s">
        <v>5791</v>
      </c>
      <c r="BX195" s="197" t="s">
        <v>5791</v>
      </c>
      <c r="BY195" s="197" t="s">
        <v>5791</v>
      </c>
      <c r="BZ195" s="212" t="s">
        <v>5791</v>
      </c>
      <c r="CA195" s="197" t="s">
        <v>5791</v>
      </c>
      <c r="CB195" s="197" t="s">
        <v>5791</v>
      </c>
      <c r="CC195" s="197" t="s">
        <v>5791</v>
      </c>
      <c r="CD195" s="197" t="s">
        <v>5791</v>
      </c>
      <c r="CE195" s="197" t="s">
        <v>5791</v>
      </c>
      <c r="CF195" s="212" t="s">
        <v>5791</v>
      </c>
      <c r="CG195" s="106" t="s">
        <v>4535</v>
      </c>
      <c r="CH195" s="59">
        <v>345</v>
      </c>
      <c r="CI195" s="33">
        <f t="shared" si="86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4535</v>
      </c>
      <c r="CN195" s="59">
        <v>345</v>
      </c>
      <c r="CO195" s="33">
        <f t="shared" si="87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4535</v>
      </c>
      <c r="CT195" s="59">
        <v>345</v>
      </c>
      <c r="CU195" s="21">
        <v>351.4</v>
      </c>
      <c r="CV195" s="59">
        <v>450</v>
      </c>
      <c r="CW195" s="32">
        <f t="shared" si="88"/>
        <v>495.00000000000006</v>
      </c>
      <c r="CX195" s="66">
        <v>200000</v>
      </c>
      <c r="CY195" s="201" t="s">
        <v>5791</v>
      </c>
      <c r="CZ195" s="202" t="s">
        <v>5791</v>
      </c>
      <c r="DA195" s="202" t="s">
        <v>5791</v>
      </c>
      <c r="DB195" s="203" t="s">
        <v>5791</v>
      </c>
      <c r="DC195" s="201" t="s">
        <v>5791</v>
      </c>
      <c r="DD195" s="202" t="s">
        <v>5791</v>
      </c>
      <c r="DE195" s="203" t="s">
        <v>5791</v>
      </c>
      <c r="DF195" s="274" t="s">
        <v>5791</v>
      </c>
      <c r="DG195" s="310" t="s">
        <v>4422</v>
      </c>
      <c r="DH195" s="310">
        <v>640</v>
      </c>
      <c r="DI195" s="32">
        <v>730</v>
      </c>
      <c r="DJ195" s="310">
        <v>800</v>
      </c>
      <c r="DK195" s="32">
        <v>940</v>
      </c>
      <c r="DL195" s="66">
        <v>200000</v>
      </c>
      <c r="DM195" s="29" t="s">
        <v>5838</v>
      </c>
      <c r="DN195" s="310" t="s">
        <v>4435</v>
      </c>
      <c r="DO195" s="306" t="s">
        <v>4565</v>
      </c>
    </row>
    <row r="196" spans="1:119">
      <c r="A196" s="301">
        <v>191</v>
      </c>
      <c r="B196" s="349"/>
      <c r="C196" s="349"/>
      <c r="D196" s="459"/>
      <c r="E196" s="374"/>
      <c r="F196" s="349"/>
      <c r="G196" s="369"/>
      <c r="H196" s="369"/>
      <c r="I196" s="369"/>
      <c r="J196" s="286" t="s">
        <v>4403</v>
      </c>
      <c r="K196" s="301" t="s">
        <v>4534</v>
      </c>
      <c r="L196" s="310" t="s">
        <v>6057</v>
      </c>
      <c r="M196" s="301" t="s">
        <v>4508</v>
      </c>
      <c r="N196" s="310" t="s">
        <v>4702</v>
      </c>
      <c r="O196" s="18" t="s">
        <v>4506</v>
      </c>
      <c r="P196" s="310" t="s">
        <v>6317</v>
      </c>
      <c r="Q196" s="310" t="s">
        <v>4420</v>
      </c>
      <c r="R196" s="310" t="s">
        <v>4420</v>
      </c>
      <c r="S196" s="310" t="s">
        <v>5791</v>
      </c>
      <c r="T196" s="59" t="s">
        <v>4420</v>
      </c>
      <c r="U196" s="59" t="s">
        <v>5791</v>
      </c>
      <c r="V196" s="59" t="s">
        <v>4420</v>
      </c>
      <c r="W196" s="59" t="s">
        <v>5791</v>
      </c>
      <c r="X196" s="310" t="s">
        <v>4420</v>
      </c>
      <c r="Y196" s="310" t="s">
        <v>5791</v>
      </c>
      <c r="Z196" s="32" t="s">
        <v>4558</v>
      </c>
      <c r="AA196" s="72">
        <v>6</v>
      </c>
      <c r="AB196" s="224">
        <v>0</v>
      </c>
      <c r="AC196" s="18">
        <v>0</v>
      </c>
      <c r="AD196" s="301" t="s">
        <v>5631</v>
      </c>
      <c r="AE196" s="21">
        <f t="shared" si="72"/>
        <v>304.79999999999995</v>
      </c>
      <c r="AF196" s="21">
        <f t="shared" si="73"/>
        <v>203.2</v>
      </c>
      <c r="AG196" s="21">
        <v>25.4</v>
      </c>
      <c r="AH196" s="21">
        <f t="shared" si="74"/>
        <v>9.5249999999999986</v>
      </c>
      <c r="AI196" s="21">
        <f t="shared" si="75"/>
        <v>1524</v>
      </c>
      <c r="AJ196" s="301" t="s">
        <v>5635</v>
      </c>
      <c r="AK196" s="21">
        <f t="shared" ref="AK196:AK200" si="98">22*25.4</f>
        <v>558.79999999999995</v>
      </c>
      <c r="AL196" s="21">
        <f t="shared" ref="AL196:AL197" si="99">6*25.4</f>
        <v>152.39999999999998</v>
      </c>
      <c r="AM196" s="21">
        <f t="shared" si="91"/>
        <v>12.7</v>
      </c>
      <c r="AN196" s="21">
        <f t="shared" si="92"/>
        <v>6.35</v>
      </c>
      <c r="AO196" s="21">
        <f t="shared" si="80"/>
        <v>1765.3</v>
      </c>
      <c r="AP196" s="21">
        <f t="shared" si="69"/>
        <v>368963144.33029962</v>
      </c>
      <c r="AQ196" s="24">
        <f t="shared" si="70"/>
        <v>1508634.0794999972</v>
      </c>
      <c r="AR196" s="21">
        <f>0.5*25.4</f>
        <v>12.7</v>
      </c>
      <c r="AS196" s="21">
        <f t="shared" ref="AS196:AS197" si="100">6*25.4</f>
        <v>152.39999999999998</v>
      </c>
      <c r="AT196" s="21">
        <f t="shared" ref="AT196:AT200" si="101">22*25.4</f>
        <v>558.79999999999995</v>
      </c>
      <c r="AU196" s="21">
        <v>0</v>
      </c>
      <c r="AV196" s="21">
        <v>0</v>
      </c>
      <c r="AW196" s="301" t="s">
        <v>5806</v>
      </c>
      <c r="AX196" s="310" t="s">
        <v>5636</v>
      </c>
      <c r="AY196" s="21">
        <f t="shared" si="71"/>
        <v>107.968</v>
      </c>
      <c r="AZ196" s="21">
        <v>19.100000000000001</v>
      </c>
      <c r="BA196" s="310">
        <v>241</v>
      </c>
      <c r="BB196" s="21">
        <f t="shared" si="97"/>
        <v>41.274999999999999</v>
      </c>
      <c r="BC196" s="21">
        <f t="shared" si="97"/>
        <v>41.274999999999999</v>
      </c>
      <c r="BD196" s="21">
        <f t="shared" ref="BD196:BE197" si="102">3*25.4</f>
        <v>76.199999999999989</v>
      </c>
      <c r="BE196" s="21">
        <f t="shared" si="102"/>
        <v>76.199999999999989</v>
      </c>
      <c r="BF196" s="21">
        <f t="shared" si="85"/>
        <v>323.85000000000002</v>
      </c>
      <c r="BG196" s="15" t="s">
        <v>6317</v>
      </c>
      <c r="BH196" s="310" t="s">
        <v>4465</v>
      </c>
      <c r="BI196" s="310" t="s">
        <v>4465</v>
      </c>
      <c r="BJ196" s="310">
        <v>4</v>
      </c>
      <c r="BK196" s="310">
        <v>8</v>
      </c>
      <c r="BL196" s="196" t="s">
        <v>5791</v>
      </c>
      <c r="BM196" s="197" t="s">
        <v>5791</v>
      </c>
      <c r="BN196" s="197" t="s">
        <v>5791</v>
      </c>
      <c r="BO196" s="197" t="s">
        <v>5791</v>
      </c>
      <c r="BP196" s="197" t="s">
        <v>5791</v>
      </c>
      <c r="BQ196" s="197" t="s">
        <v>5791</v>
      </c>
      <c r="BR196" s="197" t="s">
        <v>5791</v>
      </c>
      <c r="BS196" s="197" t="s">
        <v>5791</v>
      </c>
      <c r="BT196" s="196" t="s">
        <v>5791</v>
      </c>
      <c r="BU196" s="197" t="s">
        <v>5791</v>
      </c>
      <c r="BV196" s="197" t="s">
        <v>5791</v>
      </c>
      <c r="BW196" s="197" t="s">
        <v>5791</v>
      </c>
      <c r="BX196" s="197" t="s">
        <v>5791</v>
      </c>
      <c r="BY196" s="197" t="s">
        <v>5791</v>
      </c>
      <c r="BZ196" s="212" t="s">
        <v>5791</v>
      </c>
      <c r="CA196" s="197" t="s">
        <v>5791</v>
      </c>
      <c r="CB196" s="197" t="s">
        <v>5791</v>
      </c>
      <c r="CC196" s="197" t="s">
        <v>5791</v>
      </c>
      <c r="CD196" s="197" t="s">
        <v>5791</v>
      </c>
      <c r="CE196" s="197" t="s">
        <v>5791</v>
      </c>
      <c r="CF196" s="212" t="s">
        <v>5791</v>
      </c>
      <c r="CG196" s="106" t="s">
        <v>4535</v>
      </c>
      <c r="CH196" s="59">
        <v>345</v>
      </c>
      <c r="CI196" s="33">
        <f t="shared" si="86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4535</v>
      </c>
      <c r="CN196" s="59">
        <v>345</v>
      </c>
      <c r="CO196" s="33">
        <f t="shared" si="87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4535</v>
      </c>
      <c r="CT196" s="59">
        <v>345</v>
      </c>
      <c r="CU196" s="21">
        <v>361.7</v>
      </c>
      <c r="CV196" s="59">
        <v>450</v>
      </c>
      <c r="CW196" s="32">
        <f t="shared" si="88"/>
        <v>495.00000000000006</v>
      </c>
      <c r="CX196" s="66">
        <v>200000</v>
      </c>
      <c r="CY196" s="201" t="s">
        <v>5791</v>
      </c>
      <c r="CZ196" s="202" t="s">
        <v>5791</v>
      </c>
      <c r="DA196" s="202" t="s">
        <v>5791</v>
      </c>
      <c r="DB196" s="203" t="s">
        <v>5791</v>
      </c>
      <c r="DC196" s="201" t="s">
        <v>5791</v>
      </c>
      <c r="DD196" s="202" t="s">
        <v>5791</v>
      </c>
      <c r="DE196" s="203" t="s">
        <v>5791</v>
      </c>
      <c r="DF196" s="274" t="s">
        <v>5791</v>
      </c>
      <c r="DG196" s="310" t="s">
        <v>4422</v>
      </c>
      <c r="DH196" s="310">
        <v>640</v>
      </c>
      <c r="DI196" s="32">
        <v>730</v>
      </c>
      <c r="DJ196" s="310">
        <v>800</v>
      </c>
      <c r="DK196" s="32">
        <v>940</v>
      </c>
      <c r="DL196" s="66">
        <v>200000</v>
      </c>
      <c r="DM196" s="29" t="s">
        <v>5837</v>
      </c>
      <c r="DN196" s="310" t="s">
        <v>4435</v>
      </c>
      <c r="DO196" s="306" t="s">
        <v>4565</v>
      </c>
    </row>
    <row r="197" spans="1:119">
      <c r="A197" s="301">
        <v>192</v>
      </c>
      <c r="B197" s="349"/>
      <c r="C197" s="349"/>
      <c r="D197" s="459"/>
      <c r="E197" s="374"/>
      <c r="F197" s="349"/>
      <c r="G197" s="369"/>
      <c r="H197" s="369"/>
      <c r="I197" s="369"/>
      <c r="J197" s="286" t="s">
        <v>4404</v>
      </c>
      <c r="K197" s="301" t="s">
        <v>4534</v>
      </c>
      <c r="L197" s="310" t="s">
        <v>6057</v>
      </c>
      <c r="M197" s="301" t="s">
        <v>4508</v>
      </c>
      <c r="N197" s="310" t="s">
        <v>4702</v>
      </c>
      <c r="O197" s="18" t="s">
        <v>4506</v>
      </c>
      <c r="P197" s="310" t="s">
        <v>6317</v>
      </c>
      <c r="Q197" s="310" t="s">
        <v>4420</v>
      </c>
      <c r="R197" s="310" t="s">
        <v>4420</v>
      </c>
      <c r="S197" s="310" t="s">
        <v>5791</v>
      </c>
      <c r="T197" s="59" t="s">
        <v>4420</v>
      </c>
      <c r="U197" s="59" t="s">
        <v>5791</v>
      </c>
      <c r="V197" s="59" t="s">
        <v>4420</v>
      </c>
      <c r="W197" s="59" t="s">
        <v>5791</v>
      </c>
      <c r="X197" s="310" t="s">
        <v>4420</v>
      </c>
      <c r="Y197" s="310" t="s">
        <v>5791</v>
      </c>
      <c r="Z197" s="32" t="s">
        <v>4558</v>
      </c>
      <c r="AA197" s="72">
        <v>6</v>
      </c>
      <c r="AB197" s="224">
        <v>0</v>
      </c>
      <c r="AC197" s="18">
        <v>0</v>
      </c>
      <c r="AD197" s="301" t="s">
        <v>5631</v>
      </c>
      <c r="AE197" s="21">
        <f t="shared" si="72"/>
        <v>304.79999999999995</v>
      </c>
      <c r="AF197" s="21">
        <f t="shared" si="73"/>
        <v>203.2</v>
      </c>
      <c r="AG197" s="21">
        <v>25.4</v>
      </c>
      <c r="AH197" s="21">
        <f t="shared" si="74"/>
        <v>9.5249999999999986</v>
      </c>
      <c r="AI197" s="21">
        <f t="shared" si="75"/>
        <v>1524</v>
      </c>
      <c r="AJ197" s="301" t="s">
        <v>5635</v>
      </c>
      <c r="AK197" s="21">
        <f t="shared" si="98"/>
        <v>558.79999999999995</v>
      </c>
      <c r="AL197" s="21">
        <f t="shared" si="99"/>
        <v>152.39999999999998</v>
      </c>
      <c r="AM197" s="21">
        <f t="shared" si="91"/>
        <v>12.7</v>
      </c>
      <c r="AN197" s="21">
        <f t="shared" si="92"/>
        <v>6.35</v>
      </c>
      <c r="AO197" s="21">
        <f t="shared" si="80"/>
        <v>1765.3</v>
      </c>
      <c r="AP197" s="21">
        <f t="shared" si="69"/>
        <v>368963144.33029962</v>
      </c>
      <c r="AQ197" s="24">
        <f t="shared" si="70"/>
        <v>1508634.0794999972</v>
      </c>
      <c r="AR197" s="21">
        <f>5/8*25.4</f>
        <v>15.875</v>
      </c>
      <c r="AS197" s="21">
        <f t="shared" si="100"/>
        <v>152.39999999999998</v>
      </c>
      <c r="AT197" s="21">
        <f t="shared" si="101"/>
        <v>558.79999999999995</v>
      </c>
      <c r="AU197" s="21">
        <v>0</v>
      </c>
      <c r="AV197" s="21">
        <v>0</v>
      </c>
      <c r="AW197" s="301" t="s">
        <v>5806</v>
      </c>
      <c r="AX197" s="310" t="s">
        <v>5636</v>
      </c>
      <c r="AY197" s="21">
        <f t="shared" si="71"/>
        <v>107.968</v>
      </c>
      <c r="AZ197" s="21">
        <v>19.100000000000001</v>
      </c>
      <c r="BA197" s="310">
        <v>241</v>
      </c>
      <c r="BB197" s="21">
        <f t="shared" si="97"/>
        <v>41.274999999999999</v>
      </c>
      <c r="BC197" s="21">
        <f t="shared" si="97"/>
        <v>41.274999999999999</v>
      </c>
      <c r="BD197" s="21">
        <f t="shared" si="102"/>
        <v>76.199999999999989</v>
      </c>
      <c r="BE197" s="21">
        <f t="shared" si="102"/>
        <v>76.199999999999989</v>
      </c>
      <c r="BF197" s="21">
        <f t="shared" si="85"/>
        <v>323.85000000000002</v>
      </c>
      <c r="BG197" s="15" t="s">
        <v>6317</v>
      </c>
      <c r="BH197" s="310" t="s">
        <v>4465</v>
      </c>
      <c r="BI197" s="310" t="s">
        <v>4465</v>
      </c>
      <c r="BJ197" s="310">
        <v>4</v>
      </c>
      <c r="BK197" s="310">
        <v>8</v>
      </c>
      <c r="BL197" s="196" t="s">
        <v>5791</v>
      </c>
      <c r="BM197" s="197" t="s">
        <v>5791</v>
      </c>
      <c r="BN197" s="197" t="s">
        <v>5791</v>
      </c>
      <c r="BO197" s="197" t="s">
        <v>5791</v>
      </c>
      <c r="BP197" s="197" t="s">
        <v>5791</v>
      </c>
      <c r="BQ197" s="197" t="s">
        <v>5791</v>
      </c>
      <c r="BR197" s="197" t="s">
        <v>5791</v>
      </c>
      <c r="BS197" s="197" t="s">
        <v>5791</v>
      </c>
      <c r="BT197" s="196" t="s">
        <v>5791</v>
      </c>
      <c r="BU197" s="197" t="s">
        <v>5791</v>
      </c>
      <c r="BV197" s="197" t="s">
        <v>5791</v>
      </c>
      <c r="BW197" s="197" t="s">
        <v>5791</v>
      </c>
      <c r="BX197" s="197" t="s">
        <v>5791</v>
      </c>
      <c r="BY197" s="197" t="s">
        <v>5791</v>
      </c>
      <c r="BZ197" s="212" t="s">
        <v>5791</v>
      </c>
      <c r="CA197" s="197" t="s">
        <v>5791</v>
      </c>
      <c r="CB197" s="197" t="s">
        <v>5791</v>
      </c>
      <c r="CC197" s="197" t="s">
        <v>5791</v>
      </c>
      <c r="CD197" s="197" t="s">
        <v>5791</v>
      </c>
      <c r="CE197" s="197" t="s">
        <v>5791</v>
      </c>
      <c r="CF197" s="212" t="s">
        <v>5791</v>
      </c>
      <c r="CG197" s="106" t="s">
        <v>4535</v>
      </c>
      <c r="CH197" s="59">
        <v>345</v>
      </c>
      <c r="CI197" s="33">
        <f t="shared" si="86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4535</v>
      </c>
      <c r="CN197" s="59">
        <v>345</v>
      </c>
      <c r="CO197" s="33">
        <f t="shared" si="87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4535</v>
      </c>
      <c r="CT197" s="59">
        <v>345</v>
      </c>
      <c r="CU197" s="21">
        <v>378.9</v>
      </c>
      <c r="CV197" s="59">
        <v>450</v>
      </c>
      <c r="CW197" s="32">
        <f t="shared" si="88"/>
        <v>495.00000000000006</v>
      </c>
      <c r="CX197" s="66">
        <v>200000</v>
      </c>
      <c r="CY197" s="201" t="s">
        <v>5791</v>
      </c>
      <c r="CZ197" s="202" t="s">
        <v>5791</v>
      </c>
      <c r="DA197" s="202" t="s">
        <v>5791</v>
      </c>
      <c r="DB197" s="203" t="s">
        <v>5791</v>
      </c>
      <c r="DC197" s="201" t="s">
        <v>5791</v>
      </c>
      <c r="DD197" s="202" t="s">
        <v>5791</v>
      </c>
      <c r="DE197" s="203" t="s">
        <v>5791</v>
      </c>
      <c r="DF197" s="274" t="s">
        <v>5791</v>
      </c>
      <c r="DG197" s="310" t="s">
        <v>4422</v>
      </c>
      <c r="DH197" s="310">
        <v>640</v>
      </c>
      <c r="DI197" s="32">
        <v>730</v>
      </c>
      <c r="DJ197" s="310">
        <v>800</v>
      </c>
      <c r="DK197" s="32">
        <v>940</v>
      </c>
      <c r="DL197" s="66">
        <v>200000</v>
      </c>
      <c r="DM197" s="29" t="s">
        <v>5837</v>
      </c>
      <c r="DN197" s="310" t="s">
        <v>4435</v>
      </c>
      <c r="DO197" s="306" t="s">
        <v>4565</v>
      </c>
    </row>
    <row r="198" spans="1:119">
      <c r="A198" s="301">
        <v>193</v>
      </c>
      <c r="B198" s="349"/>
      <c r="C198" s="349"/>
      <c r="D198" s="459"/>
      <c r="E198" s="374"/>
      <c r="F198" s="349"/>
      <c r="G198" s="369"/>
      <c r="H198" s="369"/>
      <c r="I198" s="369"/>
      <c r="J198" s="286" t="s">
        <v>4405</v>
      </c>
      <c r="K198" s="301" t="s">
        <v>4534</v>
      </c>
      <c r="L198" s="310" t="s">
        <v>6057</v>
      </c>
      <c r="M198" s="301" t="s">
        <v>4508</v>
      </c>
      <c r="N198" s="310" t="s">
        <v>4702</v>
      </c>
      <c r="O198" s="18" t="s">
        <v>4506</v>
      </c>
      <c r="P198" s="310" t="s">
        <v>6317</v>
      </c>
      <c r="Q198" s="310" t="s">
        <v>4420</v>
      </c>
      <c r="R198" s="310" t="s">
        <v>4420</v>
      </c>
      <c r="S198" s="310" t="s">
        <v>5791</v>
      </c>
      <c r="T198" s="59" t="s">
        <v>4420</v>
      </c>
      <c r="U198" s="59" t="s">
        <v>5791</v>
      </c>
      <c r="V198" s="59" t="s">
        <v>4420</v>
      </c>
      <c r="W198" s="59" t="s">
        <v>5791</v>
      </c>
      <c r="X198" s="310" t="s">
        <v>4420</v>
      </c>
      <c r="Y198" s="310" t="s">
        <v>5791</v>
      </c>
      <c r="Z198" s="32" t="s">
        <v>4558</v>
      </c>
      <c r="AA198" s="72">
        <v>6</v>
      </c>
      <c r="AB198" s="224">
        <v>0</v>
      </c>
      <c r="AC198" s="18">
        <v>0</v>
      </c>
      <c r="AD198" s="301" t="s">
        <v>5631</v>
      </c>
      <c r="AE198" s="21">
        <f t="shared" si="72"/>
        <v>304.79999999999995</v>
      </c>
      <c r="AF198" s="21">
        <f t="shared" si="73"/>
        <v>203.2</v>
      </c>
      <c r="AG198" s="21">
        <v>25.4</v>
      </c>
      <c r="AH198" s="21">
        <f t="shared" si="74"/>
        <v>9.5249999999999986</v>
      </c>
      <c r="AI198" s="21">
        <f t="shared" si="75"/>
        <v>1524</v>
      </c>
      <c r="AJ198" s="301" t="s">
        <v>5634</v>
      </c>
      <c r="AK198" s="21">
        <f t="shared" si="98"/>
        <v>558.79999999999995</v>
      </c>
      <c r="AL198" s="21">
        <f t="shared" ref="AL198:AL200" si="103">8*25.4</f>
        <v>203.2</v>
      </c>
      <c r="AM198" s="21">
        <f t="shared" si="91"/>
        <v>12.7</v>
      </c>
      <c r="AN198" s="21">
        <f t="shared" si="92"/>
        <v>6.35</v>
      </c>
      <c r="AO198" s="21">
        <f t="shared" si="80"/>
        <v>1765.3</v>
      </c>
      <c r="AP198" s="21">
        <f t="shared" si="69"/>
        <v>465181975.5481658</v>
      </c>
      <c r="AQ198" s="24">
        <f t="shared" si="70"/>
        <v>1860955.9554999955</v>
      </c>
      <c r="AR198" s="21">
        <f>3/8*25.4</f>
        <v>9.5249999999999986</v>
      </c>
      <c r="AS198" s="21">
        <f>8*25.4</f>
        <v>203.2</v>
      </c>
      <c r="AT198" s="21">
        <f t="shared" si="101"/>
        <v>558.79999999999995</v>
      </c>
      <c r="AU198" s="21">
        <v>0</v>
      </c>
      <c r="AV198" s="21">
        <v>0</v>
      </c>
      <c r="AW198" s="301" t="s">
        <v>5806</v>
      </c>
      <c r="AX198" s="310" t="s">
        <v>5636</v>
      </c>
      <c r="AY198" s="21">
        <f t="shared" si="71"/>
        <v>191.744</v>
      </c>
      <c r="AZ198" s="21">
        <v>25.4</v>
      </c>
      <c r="BA198" s="310">
        <v>428</v>
      </c>
      <c r="BB198" s="21">
        <f>(1+7/8)*25.4</f>
        <v>47.625</v>
      </c>
      <c r="BC198" s="21">
        <f>(1+7/8)*25.4</f>
        <v>47.625</v>
      </c>
      <c r="BD198" s="21">
        <f>3.5*25.4</f>
        <v>88.899999999999991</v>
      </c>
      <c r="BE198" s="21">
        <f>3.5*25.4</f>
        <v>88.899999999999991</v>
      </c>
      <c r="BF198" s="21">
        <f t="shared" si="85"/>
        <v>285.75</v>
      </c>
      <c r="BG198" s="15" t="s">
        <v>6317</v>
      </c>
      <c r="BH198" s="310" t="s">
        <v>4465</v>
      </c>
      <c r="BI198" s="310" t="s">
        <v>4465</v>
      </c>
      <c r="BJ198" s="310">
        <v>4</v>
      </c>
      <c r="BK198" s="310">
        <v>8</v>
      </c>
      <c r="BL198" s="196" t="s">
        <v>5791</v>
      </c>
      <c r="BM198" s="197" t="s">
        <v>5791</v>
      </c>
      <c r="BN198" s="197" t="s">
        <v>5791</v>
      </c>
      <c r="BO198" s="197" t="s">
        <v>5791</v>
      </c>
      <c r="BP198" s="197" t="s">
        <v>5791</v>
      </c>
      <c r="BQ198" s="197" t="s">
        <v>5791</v>
      </c>
      <c r="BR198" s="197" t="s">
        <v>5791</v>
      </c>
      <c r="BS198" s="197" t="s">
        <v>5791</v>
      </c>
      <c r="BT198" s="196" t="s">
        <v>5791</v>
      </c>
      <c r="BU198" s="197" t="s">
        <v>5791</v>
      </c>
      <c r="BV198" s="197" t="s">
        <v>5791</v>
      </c>
      <c r="BW198" s="197" t="s">
        <v>5791</v>
      </c>
      <c r="BX198" s="197" t="s">
        <v>5791</v>
      </c>
      <c r="BY198" s="197" t="s">
        <v>5791</v>
      </c>
      <c r="BZ198" s="212" t="s">
        <v>5791</v>
      </c>
      <c r="CA198" s="197" t="s">
        <v>5791</v>
      </c>
      <c r="CB198" s="197" t="s">
        <v>5791</v>
      </c>
      <c r="CC198" s="197" t="s">
        <v>5791</v>
      </c>
      <c r="CD198" s="197" t="s">
        <v>5791</v>
      </c>
      <c r="CE198" s="197" t="s">
        <v>5791</v>
      </c>
      <c r="CF198" s="212" t="s">
        <v>5791</v>
      </c>
      <c r="CG198" s="106" t="s">
        <v>4535</v>
      </c>
      <c r="CH198" s="59">
        <v>345</v>
      </c>
      <c r="CI198" s="33">
        <f t="shared" si="86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4535</v>
      </c>
      <c r="CN198" s="59">
        <v>345</v>
      </c>
      <c r="CO198" s="33">
        <f t="shared" si="87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4535</v>
      </c>
      <c r="CT198" s="59">
        <v>345</v>
      </c>
      <c r="CU198" s="21">
        <v>350</v>
      </c>
      <c r="CV198" s="59">
        <v>450</v>
      </c>
      <c r="CW198" s="32">
        <f t="shared" si="88"/>
        <v>495.00000000000006</v>
      </c>
      <c r="CX198" s="66">
        <v>200000</v>
      </c>
      <c r="CY198" s="201" t="s">
        <v>5791</v>
      </c>
      <c r="CZ198" s="202" t="s">
        <v>5791</v>
      </c>
      <c r="DA198" s="202" t="s">
        <v>5791</v>
      </c>
      <c r="DB198" s="203" t="s">
        <v>5791</v>
      </c>
      <c r="DC198" s="201" t="s">
        <v>5791</v>
      </c>
      <c r="DD198" s="202" t="s">
        <v>5791</v>
      </c>
      <c r="DE198" s="203" t="s">
        <v>5791</v>
      </c>
      <c r="DF198" s="274" t="s">
        <v>5791</v>
      </c>
      <c r="DG198" s="310" t="s">
        <v>4422</v>
      </c>
      <c r="DH198" s="310">
        <v>640</v>
      </c>
      <c r="DI198" s="32">
        <v>730</v>
      </c>
      <c r="DJ198" s="310">
        <v>800</v>
      </c>
      <c r="DK198" s="32">
        <v>940</v>
      </c>
      <c r="DL198" s="66">
        <v>200000</v>
      </c>
      <c r="DM198" s="29" t="s">
        <v>4769</v>
      </c>
      <c r="DN198" s="310" t="s">
        <v>4435</v>
      </c>
      <c r="DO198" s="306" t="s">
        <v>4565</v>
      </c>
    </row>
    <row r="199" spans="1:119">
      <c r="A199" s="301">
        <v>194</v>
      </c>
      <c r="B199" s="349"/>
      <c r="C199" s="349"/>
      <c r="D199" s="459"/>
      <c r="E199" s="374"/>
      <c r="F199" s="349"/>
      <c r="G199" s="369"/>
      <c r="H199" s="369"/>
      <c r="I199" s="369"/>
      <c r="J199" s="286" t="s">
        <v>4406</v>
      </c>
      <c r="K199" s="301" t="s">
        <v>4534</v>
      </c>
      <c r="L199" s="310" t="s">
        <v>6057</v>
      </c>
      <c r="M199" s="301" t="s">
        <v>4508</v>
      </c>
      <c r="N199" s="310" t="s">
        <v>4702</v>
      </c>
      <c r="O199" s="18" t="s">
        <v>4506</v>
      </c>
      <c r="P199" s="310" t="s">
        <v>6317</v>
      </c>
      <c r="Q199" s="310" t="s">
        <v>4420</v>
      </c>
      <c r="R199" s="310" t="s">
        <v>4420</v>
      </c>
      <c r="S199" s="310" t="s">
        <v>5791</v>
      </c>
      <c r="T199" s="59" t="s">
        <v>4420</v>
      </c>
      <c r="U199" s="59" t="s">
        <v>5791</v>
      </c>
      <c r="V199" s="59" t="s">
        <v>4420</v>
      </c>
      <c r="W199" s="59" t="s">
        <v>5791</v>
      </c>
      <c r="X199" s="310" t="s">
        <v>4420</v>
      </c>
      <c r="Y199" s="310" t="s">
        <v>5791</v>
      </c>
      <c r="Z199" s="32" t="s">
        <v>4558</v>
      </c>
      <c r="AA199" s="72">
        <v>6</v>
      </c>
      <c r="AB199" s="224">
        <v>0</v>
      </c>
      <c r="AC199" s="18">
        <v>0</v>
      </c>
      <c r="AD199" s="301" t="s">
        <v>5631</v>
      </c>
      <c r="AE199" s="21">
        <f t="shared" si="72"/>
        <v>304.79999999999995</v>
      </c>
      <c r="AF199" s="21">
        <f t="shared" si="73"/>
        <v>203.2</v>
      </c>
      <c r="AG199" s="21">
        <v>25.4</v>
      </c>
      <c r="AH199" s="21">
        <f t="shared" si="74"/>
        <v>9.5249999999999986</v>
      </c>
      <c r="AI199" s="21">
        <f t="shared" si="75"/>
        <v>1524</v>
      </c>
      <c r="AJ199" s="301" t="s">
        <v>5634</v>
      </c>
      <c r="AK199" s="21">
        <f t="shared" si="98"/>
        <v>558.79999999999995</v>
      </c>
      <c r="AL199" s="21">
        <f t="shared" si="103"/>
        <v>203.2</v>
      </c>
      <c r="AM199" s="21">
        <f t="shared" si="91"/>
        <v>12.7</v>
      </c>
      <c r="AN199" s="21">
        <f t="shared" si="92"/>
        <v>6.35</v>
      </c>
      <c r="AO199" s="21">
        <f t="shared" si="80"/>
        <v>1765.3</v>
      </c>
      <c r="AP199" s="21">
        <f t="shared" si="69"/>
        <v>465181975.5481658</v>
      </c>
      <c r="AQ199" s="24">
        <f t="shared" si="70"/>
        <v>1860955.9554999955</v>
      </c>
      <c r="AR199" s="21">
        <f>0.5*25.4</f>
        <v>12.7</v>
      </c>
      <c r="AS199" s="21">
        <f t="shared" ref="AS199:AS200" si="104">8*25.4</f>
        <v>203.2</v>
      </c>
      <c r="AT199" s="21">
        <f t="shared" si="101"/>
        <v>558.79999999999995</v>
      </c>
      <c r="AU199" s="21">
        <v>0</v>
      </c>
      <c r="AV199" s="21">
        <v>0</v>
      </c>
      <c r="AW199" s="301" t="s">
        <v>5806</v>
      </c>
      <c r="AX199" s="310" t="s">
        <v>5636</v>
      </c>
      <c r="AY199" s="21">
        <f t="shared" si="71"/>
        <v>191.744</v>
      </c>
      <c r="AZ199" s="21">
        <v>25.4</v>
      </c>
      <c r="BA199" s="310">
        <v>428</v>
      </c>
      <c r="BB199" s="21">
        <f t="shared" ref="BB199:BC200" si="105">(1+7/8)*25.4</f>
        <v>47.625</v>
      </c>
      <c r="BC199" s="21">
        <f t="shared" si="105"/>
        <v>47.625</v>
      </c>
      <c r="BD199" s="21">
        <f t="shared" ref="BD199:BE200" si="106">3.5*25.4</f>
        <v>88.899999999999991</v>
      </c>
      <c r="BE199" s="21">
        <f t="shared" si="106"/>
        <v>88.899999999999991</v>
      </c>
      <c r="BF199" s="21">
        <f t="shared" si="85"/>
        <v>285.75</v>
      </c>
      <c r="BG199" s="15" t="s">
        <v>6317</v>
      </c>
      <c r="BH199" s="310" t="s">
        <v>4465</v>
      </c>
      <c r="BI199" s="310" t="s">
        <v>4465</v>
      </c>
      <c r="BJ199" s="310">
        <v>4</v>
      </c>
      <c r="BK199" s="310">
        <v>8</v>
      </c>
      <c r="BL199" s="196" t="s">
        <v>5791</v>
      </c>
      <c r="BM199" s="197" t="s">
        <v>5791</v>
      </c>
      <c r="BN199" s="197" t="s">
        <v>5791</v>
      </c>
      <c r="BO199" s="197" t="s">
        <v>5791</v>
      </c>
      <c r="BP199" s="197" t="s">
        <v>5791</v>
      </c>
      <c r="BQ199" s="197" t="s">
        <v>5791</v>
      </c>
      <c r="BR199" s="197" t="s">
        <v>5791</v>
      </c>
      <c r="BS199" s="197" t="s">
        <v>5791</v>
      </c>
      <c r="BT199" s="196" t="s">
        <v>5791</v>
      </c>
      <c r="BU199" s="197" t="s">
        <v>5791</v>
      </c>
      <c r="BV199" s="197" t="s">
        <v>5791</v>
      </c>
      <c r="BW199" s="197" t="s">
        <v>5791</v>
      </c>
      <c r="BX199" s="197" t="s">
        <v>5791</v>
      </c>
      <c r="BY199" s="197" t="s">
        <v>5791</v>
      </c>
      <c r="BZ199" s="212" t="s">
        <v>5791</v>
      </c>
      <c r="CA199" s="197" t="s">
        <v>5791</v>
      </c>
      <c r="CB199" s="197" t="s">
        <v>5791</v>
      </c>
      <c r="CC199" s="197" t="s">
        <v>5791</v>
      </c>
      <c r="CD199" s="197" t="s">
        <v>5791</v>
      </c>
      <c r="CE199" s="197" t="s">
        <v>5791</v>
      </c>
      <c r="CF199" s="212" t="s">
        <v>5791</v>
      </c>
      <c r="CG199" s="106" t="s">
        <v>4535</v>
      </c>
      <c r="CH199" s="59">
        <v>345</v>
      </c>
      <c r="CI199" s="33">
        <f t="shared" si="86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4535</v>
      </c>
      <c r="CN199" s="59">
        <v>345</v>
      </c>
      <c r="CO199" s="33">
        <f t="shared" si="87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4535</v>
      </c>
      <c r="CT199" s="59">
        <v>345</v>
      </c>
      <c r="CU199" s="33">
        <f t="shared" ref="CU199" si="107">CT199*1.1</f>
        <v>379.50000000000006</v>
      </c>
      <c r="CV199" s="59">
        <v>450</v>
      </c>
      <c r="CW199" s="32">
        <f t="shared" si="88"/>
        <v>495.00000000000006</v>
      </c>
      <c r="CX199" s="66">
        <v>200000</v>
      </c>
      <c r="CY199" s="201" t="s">
        <v>5791</v>
      </c>
      <c r="CZ199" s="202" t="s">
        <v>5791</v>
      </c>
      <c r="DA199" s="202" t="s">
        <v>5791</v>
      </c>
      <c r="DB199" s="203" t="s">
        <v>5791</v>
      </c>
      <c r="DC199" s="201" t="s">
        <v>5791</v>
      </c>
      <c r="DD199" s="202" t="s">
        <v>5791</v>
      </c>
      <c r="DE199" s="203" t="s">
        <v>5791</v>
      </c>
      <c r="DF199" s="274" t="s">
        <v>5791</v>
      </c>
      <c r="DG199" s="310" t="s">
        <v>4422</v>
      </c>
      <c r="DH199" s="310">
        <v>640</v>
      </c>
      <c r="DI199" s="32">
        <v>730</v>
      </c>
      <c r="DJ199" s="310">
        <v>800</v>
      </c>
      <c r="DK199" s="32">
        <v>940</v>
      </c>
      <c r="DL199" s="66">
        <v>200000</v>
      </c>
      <c r="DM199" s="29" t="s">
        <v>5838</v>
      </c>
      <c r="DN199" s="310" t="s">
        <v>4435</v>
      </c>
      <c r="DO199" s="306" t="s">
        <v>4565</v>
      </c>
    </row>
    <row r="200" spans="1:119" ht="15.6" customHeight="1" thickBot="1">
      <c r="A200" s="308">
        <v>195</v>
      </c>
      <c r="B200" s="349"/>
      <c r="C200" s="349"/>
      <c r="D200" s="459"/>
      <c r="E200" s="374"/>
      <c r="F200" s="349"/>
      <c r="G200" s="369"/>
      <c r="H200" s="369"/>
      <c r="I200" s="369"/>
      <c r="J200" s="285" t="s">
        <v>4407</v>
      </c>
      <c r="K200" s="308" t="s">
        <v>4534</v>
      </c>
      <c r="L200" s="311" t="s">
        <v>6057</v>
      </c>
      <c r="M200" s="308" t="s">
        <v>4508</v>
      </c>
      <c r="N200" s="311" t="s">
        <v>4702</v>
      </c>
      <c r="O200" s="14" t="s">
        <v>4506</v>
      </c>
      <c r="P200" s="311" t="s">
        <v>6317</v>
      </c>
      <c r="Q200" s="311" t="s">
        <v>4420</v>
      </c>
      <c r="R200" s="311" t="s">
        <v>4420</v>
      </c>
      <c r="S200" s="311" t="s">
        <v>5791</v>
      </c>
      <c r="T200" s="86" t="s">
        <v>4420</v>
      </c>
      <c r="U200" s="86" t="s">
        <v>5791</v>
      </c>
      <c r="V200" s="86" t="s">
        <v>4420</v>
      </c>
      <c r="W200" s="86" t="s">
        <v>5791</v>
      </c>
      <c r="X200" s="311" t="s">
        <v>4420</v>
      </c>
      <c r="Y200" s="311" t="s">
        <v>5791</v>
      </c>
      <c r="Z200" s="34" t="s">
        <v>4558</v>
      </c>
      <c r="AA200" s="117">
        <v>6</v>
      </c>
      <c r="AB200" s="226">
        <v>0</v>
      </c>
      <c r="AC200" s="14">
        <v>0</v>
      </c>
      <c r="AD200" s="301" t="s">
        <v>5631</v>
      </c>
      <c r="AE200" s="21">
        <f t="shared" si="72"/>
        <v>304.79999999999995</v>
      </c>
      <c r="AF200" s="21">
        <f t="shared" si="73"/>
        <v>203.2</v>
      </c>
      <c r="AG200" s="21">
        <v>25.4</v>
      </c>
      <c r="AH200" s="21">
        <f t="shared" si="74"/>
        <v>9.5249999999999986</v>
      </c>
      <c r="AI200" s="21">
        <f t="shared" si="75"/>
        <v>1524</v>
      </c>
      <c r="AJ200" s="308" t="s">
        <v>5634</v>
      </c>
      <c r="AK200" s="23">
        <f t="shared" si="98"/>
        <v>558.79999999999995</v>
      </c>
      <c r="AL200" s="23">
        <f t="shared" si="103"/>
        <v>203.2</v>
      </c>
      <c r="AM200" s="23">
        <f t="shared" si="91"/>
        <v>12.7</v>
      </c>
      <c r="AN200" s="23">
        <f t="shared" si="92"/>
        <v>6.35</v>
      </c>
      <c r="AO200" s="23">
        <f t="shared" si="80"/>
        <v>1765.3</v>
      </c>
      <c r="AP200" s="23">
        <f t="shared" si="69"/>
        <v>465181975.5481658</v>
      </c>
      <c r="AQ200" s="25">
        <f t="shared" si="70"/>
        <v>1860955.9554999955</v>
      </c>
      <c r="AR200" s="23">
        <f>3/4*25.4</f>
        <v>19.049999999999997</v>
      </c>
      <c r="AS200" s="23">
        <f t="shared" si="104"/>
        <v>203.2</v>
      </c>
      <c r="AT200" s="23">
        <f t="shared" si="101"/>
        <v>558.79999999999995</v>
      </c>
      <c r="AU200" s="23">
        <v>0</v>
      </c>
      <c r="AV200" s="23">
        <v>0</v>
      </c>
      <c r="AW200" s="308" t="s">
        <v>5806</v>
      </c>
      <c r="AX200" s="311" t="s">
        <v>5636</v>
      </c>
      <c r="AY200" s="23">
        <f t="shared" si="71"/>
        <v>191.744</v>
      </c>
      <c r="AZ200" s="23">
        <v>25.4</v>
      </c>
      <c r="BA200" s="311">
        <v>428</v>
      </c>
      <c r="BB200" s="23">
        <f t="shared" si="105"/>
        <v>47.625</v>
      </c>
      <c r="BC200" s="23">
        <f t="shared" si="105"/>
        <v>47.625</v>
      </c>
      <c r="BD200" s="23">
        <f t="shared" si="106"/>
        <v>88.899999999999991</v>
      </c>
      <c r="BE200" s="23">
        <f t="shared" si="106"/>
        <v>88.899999999999991</v>
      </c>
      <c r="BF200" s="23">
        <f t="shared" si="85"/>
        <v>285.75</v>
      </c>
      <c r="BG200" s="19" t="s">
        <v>6317</v>
      </c>
      <c r="BH200" s="311" t="s">
        <v>4465</v>
      </c>
      <c r="BI200" s="311" t="s">
        <v>4465</v>
      </c>
      <c r="BJ200" s="311">
        <v>4</v>
      </c>
      <c r="BK200" s="311">
        <v>8</v>
      </c>
      <c r="BL200" s="191" t="s">
        <v>5791</v>
      </c>
      <c r="BM200" s="192" t="s">
        <v>5791</v>
      </c>
      <c r="BN200" s="192" t="s">
        <v>5791</v>
      </c>
      <c r="BO200" s="192" t="s">
        <v>5791</v>
      </c>
      <c r="BP200" s="192" t="s">
        <v>5791</v>
      </c>
      <c r="BQ200" s="192" t="s">
        <v>5791</v>
      </c>
      <c r="BR200" s="192" t="s">
        <v>5791</v>
      </c>
      <c r="BS200" s="192" t="s">
        <v>5791</v>
      </c>
      <c r="BT200" s="191" t="s">
        <v>5791</v>
      </c>
      <c r="BU200" s="192" t="s">
        <v>5791</v>
      </c>
      <c r="BV200" s="192" t="s">
        <v>5791</v>
      </c>
      <c r="BW200" s="192" t="s">
        <v>5791</v>
      </c>
      <c r="BX200" s="192" t="s">
        <v>5791</v>
      </c>
      <c r="BY200" s="192" t="s">
        <v>5791</v>
      </c>
      <c r="BZ200" s="214" t="s">
        <v>5791</v>
      </c>
      <c r="CA200" s="192" t="s">
        <v>5791</v>
      </c>
      <c r="CB200" s="192" t="s">
        <v>5791</v>
      </c>
      <c r="CC200" s="192" t="s">
        <v>5791</v>
      </c>
      <c r="CD200" s="192" t="s">
        <v>5791</v>
      </c>
      <c r="CE200" s="192" t="s">
        <v>5791</v>
      </c>
      <c r="CF200" s="214" t="s">
        <v>5791</v>
      </c>
      <c r="CG200" s="130" t="s">
        <v>4535</v>
      </c>
      <c r="CH200" s="86">
        <v>345</v>
      </c>
      <c r="CI200" s="35">
        <f t="shared" si="86"/>
        <v>379.50000000000006</v>
      </c>
      <c r="CJ200" s="86">
        <v>450</v>
      </c>
      <c r="CK200" s="34">
        <v>495.00000000000006</v>
      </c>
      <c r="CL200" s="69">
        <v>200000</v>
      </c>
      <c r="CM200" s="130" t="s">
        <v>4535</v>
      </c>
      <c r="CN200" s="86">
        <v>345</v>
      </c>
      <c r="CO200" s="35">
        <f t="shared" si="87"/>
        <v>379.50000000000006</v>
      </c>
      <c r="CP200" s="86">
        <v>450</v>
      </c>
      <c r="CQ200" s="34">
        <v>495.00000000000006</v>
      </c>
      <c r="CR200" s="69">
        <v>200000</v>
      </c>
      <c r="CS200" s="130" t="s">
        <v>4535</v>
      </c>
      <c r="CT200" s="86">
        <v>345</v>
      </c>
      <c r="CU200" s="23">
        <v>392.7</v>
      </c>
      <c r="CV200" s="86">
        <v>450</v>
      </c>
      <c r="CW200" s="34">
        <f t="shared" si="88"/>
        <v>495.00000000000006</v>
      </c>
      <c r="CX200" s="69">
        <v>200000</v>
      </c>
      <c r="CY200" s="204" t="s">
        <v>5791</v>
      </c>
      <c r="CZ200" s="205" t="s">
        <v>5791</v>
      </c>
      <c r="DA200" s="205" t="s">
        <v>5791</v>
      </c>
      <c r="DB200" s="206" t="s">
        <v>5791</v>
      </c>
      <c r="DC200" s="204" t="s">
        <v>5791</v>
      </c>
      <c r="DD200" s="205" t="s">
        <v>5791</v>
      </c>
      <c r="DE200" s="206" t="s">
        <v>5791</v>
      </c>
      <c r="DF200" s="275" t="s">
        <v>5791</v>
      </c>
      <c r="DG200" s="311" t="s">
        <v>4422</v>
      </c>
      <c r="DH200" s="311">
        <v>640</v>
      </c>
      <c r="DI200" s="34">
        <v>730</v>
      </c>
      <c r="DJ200" s="311">
        <v>800</v>
      </c>
      <c r="DK200" s="34">
        <v>940</v>
      </c>
      <c r="DL200" s="69">
        <v>200000</v>
      </c>
      <c r="DM200" s="27" t="s">
        <v>5837</v>
      </c>
      <c r="DN200" s="311" t="s">
        <v>4435</v>
      </c>
      <c r="DO200" s="307" t="s">
        <v>4565</v>
      </c>
    </row>
    <row r="201" spans="1:119" ht="15.6" customHeight="1">
      <c r="A201" s="301">
        <v>196</v>
      </c>
      <c r="B201" s="348">
        <v>29</v>
      </c>
      <c r="C201" s="348">
        <v>1999</v>
      </c>
      <c r="D201" s="359" t="s">
        <v>4533</v>
      </c>
      <c r="E201" s="359" t="s">
        <v>4854</v>
      </c>
      <c r="F201" s="348">
        <v>7</v>
      </c>
      <c r="G201" s="348" t="s">
        <v>5909</v>
      </c>
      <c r="H201" s="348" t="s">
        <v>5903</v>
      </c>
      <c r="I201" s="348" t="s">
        <v>6232</v>
      </c>
      <c r="J201" s="286" t="s">
        <v>4536</v>
      </c>
      <c r="K201" s="301" t="s">
        <v>4534</v>
      </c>
      <c r="L201" s="310" t="s">
        <v>6058</v>
      </c>
      <c r="M201" s="301" t="s">
        <v>4508</v>
      </c>
      <c r="N201" s="310" t="s">
        <v>4702</v>
      </c>
      <c r="O201" s="18" t="s">
        <v>4506</v>
      </c>
      <c r="P201" s="310" t="s">
        <v>4420</v>
      </c>
      <c r="Q201" s="310" t="s">
        <v>4420</v>
      </c>
      <c r="R201" s="310" t="s">
        <v>6164</v>
      </c>
      <c r="S201" s="310">
        <v>6</v>
      </c>
      <c r="T201" s="59" t="s">
        <v>4420</v>
      </c>
      <c r="U201" s="59" t="s">
        <v>5791</v>
      </c>
      <c r="V201" s="59" t="s">
        <v>4420</v>
      </c>
      <c r="W201" s="59" t="s">
        <v>5791</v>
      </c>
      <c r="X201" s="310" t="s">
        <v>4420</v>
      </c>
      <c r="Y201" s="310" t="s">
        <v>5791</v>
      </c>
      <c r="Z201" s="310" t="s">
        <v>4558</v>
      </c>
      <c r="AA201" s="18">
        <v>6</v>
      </c>
      <c r="AB201" s="224">
        <v>0</v>
      </c>
      <c r="AC201" s="140">
        <v>0</v>
      </c>
      <c r="AD201" s="300" t="s">
        <v>4803</v>
      </c>
      <c r="AE201" s="16">
        <f>12*25.4</f>
        <v>304.79999999999995</v>
      </c>
      <c r="AF201" s="16">
        <f>6*25.4</f>
        <v>152.39999999999998</v>
      </c>
      <c r="AG201" s="16">
        <f>3/8*25.4</f>
        <v>9.5249999999999986</v>
      </c>
      <c r="AH201" s="16">
        <f>0.25*25.4</f>
        <v>6.35</v>
      </c>
      <c r="AI201" s="30">
        <v>2716</v>
      </c>
      <c r="AJ201" s="301" t="s">
        <v>4748</v>
      </c>
      <c r="AK201" s="21">
        <f t="shared" ref="AK201:AK207" si="108">16*25.4</f>
        <v>406.4</v>
      </c>
      <c r="AL201" s="21">
        <f t="shared" ref="AL201:AL207" si="109">6*25.4</f>
        <v>152.39999999999998</v>
      </c>
      <c r="AM201" s="21">
        <f>0.25*25.4</f>
        <v>6.35</v>
      </c>
      <c r="AN201" s="21">
        <f>0.25*25.4</f>
        <v>6.35</v>
      </c>
      <c r="AO201" s="21">
        <f t="shared" ref="AO201:AO207" si="110">5.5*12*25.4</f>
        <v>1676.3999999999999</v>
      </c>
      <c r="AP201" s="21">
        <f t="shared" si="69"/>
        <v>109736597.1258291</v>
      </c>
      <c r="AQ201" s="24">
        <f t="shared" si="70"/>
        <v>633206.3948749993</v>
      </c>
      <c r="AR201" s="21">
        <f>3/8*25.4</f>
        <v>9.5249999999999986</v>
      </c>
      <c r="AS201" s="21">
        <f t="shared" ref="AS201:AS207" si="111">AL201</f>
        <v>152.39999999999998</v>
      </c>
      <c r="AT201" s="21">
        <f t="shared" ref="AT201:AT207" si="112">AK201</f>
        <v>406.4</v>
      </c>
      <c r="AU201" s="310">
        <v>0</v>
      </c>
      <c r="AV201" s="310">
        <v>0</v>
      </c>
      <c r="AW201" s="301" t="s">
        <v>5806</v>
      </c>
      <c r="AX201" s="310" t="s">
        <v>4498</v>
      </c>
      <c r="AY201" s="21">
        <v>124.55</v>
      </c>
      <c r="AZ201" s="21">
        <f>3/4*25.4</f>
        <v>19.049999999999997</v>
      </c>
      <c r="BA201" s="310">
        <v>241</v>
      </c>
      <c r="BB201" s="21">
        <f>1.5*25.4+AM201</f>
        <v>44.449999999999996</v>
      </c>
      <c r="BC201" s="21">
        <f>1.5*25.4+AM201</f>
        <v>44.449999999999996</v>
      </c>
      <c r="BD201" s="21">
        <v>0</v>
      </c>
      <c r="BE201" s="21">
        <f>3.5*25.4</f>
        <v>88.899999999999991</v>
      </c>
      <c r="BF201" s="21">
        <f>AT201-BB201-BC201-BD201</f>
        <v>317.5</v>
      </c>
      <c r="BG201" s="310" t="s">
        <v>4470</v>
      </c>
      <c r="BH201" s="310" t="s">
        <v>6204</v>
      </c>
      <c r="BI201" s="310" t="s">
        <v>6204</v>
      </c>
      <c r="BJ201" s="310">
        <v>2</v>
      </c>
      <c r="BK201" s="310">
        <v>4</v>
      </c>
      <c r="BL201" s="196" t="s">
        <v>5791</v>
      </c>
      <c r="BM201" s="197" t="s">
        <v>5791</v>
      </c>
      <c r="BN201" s="197" t="s">
        <v>5791</v>
      </c>
      <c r="BO201" s="197" t="s">
        <v>5791</v>
      </c>
      <c r="BP201" s="197" t="s">
        <v>5791</v>
      </c>
      <c r="BQ201" s="197" t="s">
        <v>5791</v>
      </c>
      <c r="BR201" s="197" t="s">
        <v>5791</v>
      </c>
      <c r="BS201" s="197" t="s">
        <v>5791</v>
      </c>
      <c r="BT201" s="196" t="s">
        <v>5791</v>
      </c>
      <c r="BU201" s="197" t="s">
        <v>5791</v>
      </c>
      <c r="BV201" s="197" t="s">
        <v>5791</v>
      </c>
      <c r="BW201" s="197" t="s">
        <v>5791</v>
      </c>
      <c r="BX201" s="197" t="s">
        <v>5791</v>
      </c>
      <c r="BY201" s="197" t="s">
        <v>5791</v>
      </c>
      <c r="BZ201" s="212" t="s">
        <v>5791</v>
      </c>
      <c r="CA201" s="197" t="s">
        <v>5791</v>
      </c>
      <c r="CB201" s="197" t="s">
        <v>5791</v>
      </c>
      <c r="CC201" s="197" t="s">
        <v>5791</v>
      </c>
      <c r="CD201" s="197" t="s">
        <v>5791</v>
      </c>
      <c r="CE201" s="197" t="s">
        <v>5791</v>
      </c>
      <c r="CF201" s="212" t="s">
        <v>5791</v>
      </c>
      <c r="CG201" s="310" t="s">
        <v>4535</v>
      </c>
      <c r="CH201" s="21">
        <v>345</v>
      </c>
      <c r="CI201" s="21">
        <v>413.68559999999997</v>
      </c>
      <c r="CJ201" s="21">
        <v>450</v>
      </c>
      <c r="CK201" s="21">
        <v>586.05459999999994</v>
      </c>
      <c r="CL201" s="66">
        <v>200000</v>
      </c>
      <c r="CM201" s="301" t="s">
        <v>4535</v>
      </c>
      <c r="CN201" s="310">
        <v>345</v>
      </c>
      <c r="CO201" s="21">
        <v>465.3963</v>
      </c>
      <c r="CP201" s="310">
        <v>450</v>
      </c>
      <c r="CQ201" s="21">
        <v>579.15984000000003</v>
      </c>
      <c r="CR201" s="66">
        <v>200000</v>
      </c>
      <c r="CS201" s="310" t="s">
        <v>4535</v>
      </c>
      <c r="CT201" s="59">
        <v>345</v>
      </c>
      <c r="CU201" s="21">
        <v>369.62808359999997</v>
      </c>
      <c r="CV201" s="59">
        <v>450</v>
      </c>
      <c r="CW201" s="21">
        <v>578.74615439999991</v>
      </c>
      <c r="CX201" s="60">
        <v>200000</v>
      </c>
      <c r="CY201" s="201" t="s">
        <v>5791</v>
      </c>
      <c r="CZ201" s="202" t="s">
        <v>5791</v>
      </c>
      <c r="DA201" s="202" t="s">
        <v>5791</v>
      </c>
      <c r="DB201" s="203" t="s">
        <v>5791</v>
      </c>
      <c r="DC201" s="201" t="s">
        <v>5791</v>
      </c>
      <c r="DD201" s="202" t="s">
        <v>5791</v>
      </c>
      <c r="DE201" s="203" t="s">
        <v>5791</v>
      </c>
      <c r="DF201" s="274" t="s">
        <v>5791</v>
      </c>
      <c r="DG201" s="310" t="s">
        <v>4422</v>
      </c>
      <c r="DH201" s="309">
        <v>640</v>
      </c>
      <c r="DI201" s="30">
        <v>730</v>
      </c>
      <c r="DJ201" s="309">
        <v>800</v>
      </c>
      <c r="DK201" s="30">
        <v>940</v>
      </c>
      <c r="DL201" s="60">
        <v>200000</v>
      </c>
      <c r="DM201" s="40" t="s">
        <v>4769</v>
      </c>
      <c r="DN201" s="300" t="s">
        <v>6053</v>
      </c>
      <c r="DO201" s="306" t="s">
        <v>4565</v>
      </c>
    </row>
    <row r="202" spans="1:119">
      <c r="A202" s="301">
        <v>197</v>
      </c>
      <c r="B202" s="349"/>
      <c r="C202" s="349"/>
      <c r="D202" s="360"/>
      <c r="E202" s="360"/>
      <c r="F202" s="349"/>
      <c r="G202" s="349"/>
      <c r="H202" s="349"/>
      <c r="I202" s="349"/>
      <c r="J202" s="286" t="s">
        <v>4537</v>
      </c>
      <c r="K202" s="301" t="s">
        <v>4534</v>
      </c>
      <c r="L202" s="310" t="s">
        <v>6058</v>
      </c>
      <c r="M202" s="301" t="s">
        <v>4508</v>
      </c>
      <c r="N202" s="310" t="s">
        <v>4702</v>
      </c>
      <c r="O202" s="18" t="s">
        <v>4506</v>
      </c>
      <c r="P202" s="310" t="s">
        <v>4420</v>
      </c>
      <c r="Q202" s="310" t="s">
        <v>4420</v>
      </c>
      <c r="R202" s="310" t="s">
        <v>6164</v>
      </c>
      <c r="S202" s="310">
        <v>6</v>
      </c>
      <c r="T202" s="59" t="s">
        <v>4420</v>
      </c>
      <c r="U202" s="59" t="s">
        <v>5791</v>
      </c>
      <c r="V202" s="59" t="s">
        <v>4420</v>
      </c>
      <c r="W202" s="59" t="s">
        <v>5791</v>
      </c>
      <c r="X202" s="310" t="s">
        <v>4420</v>
      </c>
      <c r="Y202" s="310" t="s">
        <v>5791</v>
      </c>
      <c r="Z202" s="310" t="s">
        <v>4558</v>
      </c>
      <c r="AA202" s="18">
        <v>6</v>
      </c>
      <c r="AB202" s="224">
        <v>0</v>
      </c>
      <c r="AC202" s="140">
        <v>0</v>
      </c>
      <c r="AD202" s="301" t="s">
        <v>4803</v>
      </c>
      <c r="AE202" s="21">
        <f t="shared" ref="AE202:AE207" si="113">12*25.4</f>
        <v>304.79999999999995</v>
      </c>
      <c r="AF202" s="21">
        <f t="shared" ref="AF202:AF207" si="114">6*25.4</f>
        <v>152.39999999999998</v>
      </c>
      <c r="AG202" s="21">
        <f t="shared" ref="AG202:AG207" si="115">3/8*25.4</f>
        <v>9.5249999999999986</v>
      </c>
      <c r="AH202" s="21">
        <f t="shared" ref="AH202:AH207" si="116">0.25*25.4</f>
        <v>6.35</v>
      </c>
      <c r="AI202" s="32">
        <v>2716</v>
      </c>
      <c r="AJ202" s="301" t="s">
        <v>4748</v>
      </c>
      <c r="AK202" s="21">
        <f t="shared" si="108"/>
        <v>406.4</v>
      </c>
      <c r="AL202" s="21">
        <f t="shared" si="109"/>
        <v>152.39999999999998</v>
      </c>
      <c r="AM202" s="21">
        <f>0.25*25.4</f>
        <v>6.35</v>
      </c>
      <c r="AN202" s="21">
        <f>0.25*25.4</f>
        <v>6.35</v>
      </c>
      <c r="AO202" s="21">
        <f t="shared" si="110"/>
        <v>1676.3999999999999</v>
      </c>
      <c r="AP202" s="21">
        <f t="shared" si="69"/>
        <v>109736597.1258291</v>
      </c>
      <c r="AQ202" s="24">
        <f t="shared" si="70"/>
        <v>633206.3948749993</v>
      </c>
      <c r="AR202" s="21">
        <f t="shared" ref="AR202:AR207" si="117">3/8*25.4</f>
        <v>9.5249999999999986</v>
      </c>
      <c r="AS202" s="21">
        <f t="shared" si="111"/>
        <v>152.39999999999998</v>
      </c>
      <c r="AT202" s="21">
        <f t="shared" si="112"/>
        <v>406.4</v>
      </c>
      <c r="AU202" s="310">
        <v>0</v>
      </c>
      <c r="AV202" s="310">
        <v>0</v>
      </c>
      <c r="AW202" s="301" t="s">
        <v>5806</v>
      </c>
      <c r="AX202" s="310" t="s">
        <v>4498</v>
      </c>
      <c r="AY202" s="21">
        <v>124.55</v>
      </c>
      <c r="AZ202" s="21">
        <f>3/4*25.4</f>
        <v>19.049999999999997</v>
      </c>
      <c r="BA202" s="310">
        <v>241</v>
      </c>
      <c r="BB202" s="21">
        <f>1.5*25.4+AM202</f>
        <v>44.449999999999996</v>
      </c>
      <c r="BC202" s="21">
        <f>1.5*25.4+AM202</f>
        <v>44.449999999999996</v>
      </c>
      <c r="BD202" s="21">
        <v>0</v>
      </c>
      <c r="BE202" s="21">
        <f>3.5*25.4</f>
        <v>88.899999999999991</v>
      </c>
      <c r="BF202" s="21">
        <f t="shared" ref="BF202:BF204" si="118">AT202-BB202-BC202-BD202</f>
        <v>317.5</v>
      </c>
      <c r="BG202" s="310" t="s">
        <v>4470</v>
      </c>
      <c r="BH202" s="310" t="s">
        <v>6204</v>
      </c>
      <c r="BI202" s="310" t="s">
        <v>6204</v>
      </c>
      <c r="BJ202" s="310">
        <v>2</v>
      </c>
      <c r="BK202" s="310">
        <v>4</v>
      </c>
      <c r="BL202" s="196" t="s">
        <v>5791</v>
      </c>
      <c r="BM202" s="197" t="s">
        <v>5791</v>
      </c>
      <c r="BN202" s="197" t="s">
        <v>5791</v>
      </c>
      <c r="BO202" s="197" t="s">
        <v>5791</v>
      </c>
      <c r="BP202" s="197" t="s">
        <v>5791</v>
      </c>
      <c r="BQ202" s="197" t="s">
        <v>5791</v>
      </c>
      <c r="BR202" s="197" t="s">
        <v>5791</v>
      </c>
      <c r="BS202" s="197" t="s">
        <v>5791</v>
      </c>
      <c r="BT202" s="196" t="s">
        <v>5791</v>
      </c>
      <c r="BU202" s="197" t="s">
        <v>5791</v>
      </c>
      <c r="BV202" s="197" t="s">
        <v>5791</v>
      </c>
      <c r="BW202" s="197" t="s">
        <v>5791</v>
      </c>
      <c r="BX202" s="197" t="s">
        <v>5791</v>
      </c>
      <c r="BY202" s="197" t="s">
        <v>5791</v>
      </c>
      <c r="BZ202" s="212" t="s">
        <v>5791</v>
      </c>
      <c r="CA202" s="197" t="s">
        <v>5791</v>
      </c>
      <c r="CB202" s="197" t="s">
        <v>5791</v>
      </c>
      <c r="CC202" s="197" t="s">
        <v>5791</v>
      </c>
      <c r="CD202" s="197" t="s">
        <v>5791</v>
      </c>
      <c r="CE202" s="197" t="s">
        <v>5791</v>
      </c>
      <c r="CF202" s="212" t="s">
        <v>5791</v>
      </c>
      <c r="CG202" s="310" t="s">
        <v>4535</v>
      </c>
      <c r="CH202" s="21">
        <v>345</v>
      </c>
      <c r="CI202" s="21">
        <v>446.09097200000002</v>
      </c>
      <c r="CJ202" s="21">
        <v>450</v>
      </c>
      <c r="CK202" s="21">
        <v>586.05459999999994</v>
      </c>
      <c r="CL202" s="66">
        <v>200000</v>
      </c>
      <c r="CM202" s="301" t="s">
        <v>4535</v>
      </c>
      <c r="CN202" s="310">
        <v>345</v>
      </c>
      <c r="CO202" s="21">
        <v>461.94891999999999</v>
      </c>
      <c r="CP202" s="310">
        <v>450</v>
      </c>
      <c r="CQ202" s="21">
        <v>579.15984000000003</v>
      </c>
      <c r="CR202" s="66">
        <v>200000</v>
      </c>
      <c r="CS202" s="310" t="s">
        <v>4535</v>
      </c>
      <c r="CT202" s="59">
        <v>345</v>
      </c>
      <c r="CU202" s="21">
        <v>362.664376</v>
      </c>
      <c r="CV202" s="59">
        <v>450</v>
      </c>
      <c r="CW202" s="21">
        <v>579.15984000000003</v>
      </c>
      <c r="CX202" s="60">
        <v>200000</v>
      </c>
      <c r="CY202" s="201" t="s">
        <v>5791</v>
      </c>
      <c r="CZ202" s="202" t="s">
        <v>5791</v>
      </c>
      <c r="DA202" s="202" t="s">
        <v>5791</v>
      </c>
      <c r="DB202" s="203" t="s">
        <v>5791</v>
      </c>
      <c r="DC202" s="201" t="s">
        <v>5791</v>
      </c>
      <c r="DD202" s="202" t="s">
        <v>5791</v>
      </c>
      <c r="DE202" s="203" t="s">
        <v>5791</v>
      </c>
      <c r="DF202" s="274" t="s">
        <v>5791</v>
      </c>
      <c r="DG202" s="310" t="s">
        <v>4422</v>
      </c>
      <c r="DH202" s="310">
        <v>640</v>
      </c>
      <c r="DI202" s="32">
        <v>730</v>
      </c>
      <c r="DJ202" s="310">
        <v>800</v>
      </c>
      <c r="DK202" s="32">
        <v>940</v>
      </c>
      <c r="DL202" s="60">
        <v>200000</v>
      </c>
      <c r="DM202" s="40" t="s">
        <v>4769</v>
      </c>
      <c r="DN202" s="303" t="s">
        <v>6053</v>
      </c>
      <c r="DO202" s="306" t="s">
        <v>4565</v>
      </c>
    </row>
    <row r="203" spans="1:119">
      <c r="A203" s="301">
        <v>198</v>
      </c>
      <c r="B203" s="349"/>
      <c r="C203" s="349"/>
      <c r="D203" s="360"/>
      <c r="E203" s="360"/>
      <c r="F203" s="349"/>
      <c r="G203" s="349"/>
      <c r="H203" s="349"/>
      <c r="I203" s="349"/>
      <c r="J203" s="286" t="s">
        <v>4538</v>
      </c>
      <c r="K203" s="301" t="s">
        <v>4534</v>
      </c>
      <c r="L203" s="310" t="s">
        <v>6058</v>
      </c>
      <c r="M203" s="301" t="s">
        <v>4508</v>
      </c>
      <c r="N203" s="310" t="s">
        <v>4702</v>
      </c>
      <c r="O203" s="18" t="s">
        <v>4506</v>
      </c>
      <c r="P203" s="310" t="s">
        <v>4420</v>
      </c>
      <c r="Q203" s="310" t="s">
        <v>4420</v>
      </c>
      <c r="R203" s="310" t="s">
        <v>6164</v>
      </c>
      <c r="S203" s="310">
        <v>6</v>
      </c>
      <c r="T203" s="59" t="s">
        <v>4420</v>
      </c>
      <c r="U203" s="59" t="s">
        <v>5791</v>
      </c>
      <c r="V203" s="59" t="s">
        <v>4420</v>
      </c>
      <c r="W203" s="59" t="s">
        <v>5791</v>
      </c>
      <c r="X203" s="310" t="s">
        <v>4420</v>
      </c>
      <c r="Y203" s="310" t="s">
        <v>5791</v>
      </c>
      <c r="Z203" s="310" t="s">
        <v>4558</v>
      </c>
      <c r="AA203" s="18">
        <v>6</v>
      </c>
      <c r="AB203" s="224">
        <v>0</v>
      </c>
      <c r="AC203" s="140">
        <v>0</v>
      </c>
      <c r="AD203" s="301" t="s">
        <v>4803</v>
      </c>
      <c r="AE203" s="21">
        <f t="shared" si="113"/>
        <v>304.79999999999995</v>
      </c>
      <c r="AF203" s="21">
        <f t="shared" si="114"/>
        <v>152.39999999999998</v>
      </c>
      <c r="AG203" s="21">
        <f t="shared" si="115"/>
        <v>9.5249999999999986</v>
      </c>
      <c r="AH203" s="21">
        <f t="shared" si="116"/>
        <v>6.35</v>
      </c>
      <c r="AI203" s="32">
        <v>2716</v>
      </c>
      <c r="AJ203" s="301" t="s">
        <v>4748</v>
      </c>
      <c r="AK203" s="21">
        <f t="shared" si="108"/>
        <v>406.4</v>
      </c>
      <c r="AL203" s="21">
        <f t="shared" si="109"/>
        <v>152.39999999999998</v>
      </c>
      <c r="AM203" s="21">
        <f t="shared" ref="AM203:AN207" si="119">0.25*25.4</f>
        <v>6.35</v>
      </c>
      <c r="AN203" s="21">
        <f t="shared" si="119"/>
        <v>6.35</v>
      </c>
      <c r="AO203" s="21">
        <f t="shared" si="110"/>
        <v>1676.3999999999999</v>
      </c>
      <c r="AP203" s="21">
        <f t="shared" si="69"/>
        <v>109736597.1258291</v>
      </c>
      <c r="AQ203" s="24">
        <f t="shared" si="70"/>
        <v>633206.3948749993</v>
      </c>
      <c r="AR203" s="21">
        <f t="shared" si="117"/>
        <v>9.5249999999999986</v>
      </c>
      <c r="AS203" s="21">
        <f t="shared" si="111"/>
        <v>152.39999999999998</v>
      </c>
      <c r="AT203" s="21">
        <f t="shared" si="112"/>
        <v>406.4</v>
      </c>
      <c r="AU203" s="310">
        <v>0</v>
      </c>
      <c r="AV203" s="310">
        <v>0</v>
      </c>
      <c r="AW203" s="301" t="s">
        <v>5806</v>
      </c>
      <c r="AX203" s="310" t="s">
        <v>4498</v>
      </c>
      <c r="AY203" s="21">
        <v>124.55</v>
      </c>
      <c r="AZ203" s="21">
        <f>5/8*25.4</f>
        <v>15.875</v>
      </c>
      <c r="BA203" s="310">
        <v>165</v>
      </c>
      <c r="BB203" s="21">
        <f>1.375*25.4+AM203</f>
        <v>41.274999999999999</v>
      </c>
      <c r="BC203" s="21">
        <f>1.375*25.4+AM203</f>
        <v>41.274999999999999</v>
      </c>
      <c r="BD203" s="21">
        <v>0</v>
      </c>
      <c r="BE203" s="21">
        <f>2.75*25.4</f>
        <v>69.849999999999994</v>
      </c>
      <c r="BF203" s="21">
        <f t="shared" si="118"/>
        <v>323.85000000000002</v>
      </c>
      <c r="BG203" s="310" t="s">
        <v>4470</v>
      </c>
      <c r="BH203" s="310" t="s">
        <v>6204</v>
      </c>
      <c r="BI203" s="310" t="s">
        <v>6204</v>
      </c>
      <c r="BJ203" s="310">
        <v>2</v>
      </c>
      <c r="BK203" s="310">
        <v>4</v>
      </c>
      <c r="BL203" s="196" t="s">
        <v>5791</v>
      </c>
      <c r="BM203" s="197" t="s">
        <v>5791</v>
      </c>
      <c r="BN203" s="197" t="s">
        <v>5791</v>
      </c>
      <c r="BO203" s="197" t="s">
        <v>5791</v>
      </c>
      <c r="BP203" s="197" t="s">
        <v>5791</v>
      </c>
      <c r="BQ203" s="197" t="s">
        <v>5791</v>
      </c>
      <c r="BR203" s="197" t="s">
        <v>5791</v>
      </c>
      <c r="BS203" s="197" t="s">
        <v>5791</v>
      </c>
      <c r="BT203" s="196" t="s">
        <v>5791</v>
      </c>
      <c r="BU203" s="197" t="s">
        <v>5791</v>
      </c>
      <c r="BV203" s="197" t="s">
        <v>5791</v>
      </c>
      <c r="BW203" s="197" t="s">
        <v>5791</v>
      </c>
      <c r="BX203" s="197" t="s">
        <v>5791</v>
      </c>
      <c r="BY203" s="197" t="s">
        <v>5791</v>
      </c>
      <c r="BZ203" s="212" t="s">
        <v>5791</v>
      </c>
      <c r="CA203" s="197" t="s">
        <v>5791</v>
      </c>
      <c r="CB203" s="197" t="s">
        <v>5791</v>
      </c>
      <c r="CC203" s="197" t="s">
        <v>5791</v>
      </c>
      <c r="CD203" s="197" t="s">
        <v>5791</v>
      </c>
      <c r="CE203" s="197" t="s">
        <v>5791</v>
      </c>
      <c r="CF203" s="212" t="s">
        <v>5791</v>
      </c>
      <c r="CG203" s="310" t="s">
        <v>4535</v>
      </c>
      <c r="CH203" s="21">
        <v>345</v>
      </c>
      <c r="CI203" s="21">
        <v>448.57308560000001</v>
      </c>
      <c r="CJ203" s="21">
        <v>450</v>
      </c>
      <c r="CK203" s="21">
        <v>586.05459999999994</v>
      </c>
      <c r="CL203" s="66">
        <v>200000</v>
      </c>
      <c r="CM203" s="301" t="s">
        <v>4535</v>
      </c>
      <c r="CN203" s="310">
        <v>345</v>
      </c>
      <c r="CO203" s="21">
        <v>461.94891999999999</v>
      </c>
      <c r="CP203" s="310">
        <v>450</v>
      </c>
      <c r="CQ203" s="21">
        <v>579.15984000000003</v>
      </c>
      <c r="CR203" s="66">
        <v>200000</v>
      </c>
      <c r="CS203" s="310" t="s">
        <v>4535</v>
      </c>
      <c r="CT203" s="59">
        <v>345</v>
      </c>
      <c r="CU203" s="21">
        <v>370.93808799999999</v>
      </c>
      <c r="CV203" s="59">
        <v>450</v>
      </c>
      <c r="CW203" s="21">
        <v>579.15984000000003</v>
      </c>
      <c r="CX203" s="60">
        <v>200000</v>
      </c>
      <c r="CY203" s="201" t="s">
        <v>5791</v>
      </c>
      <c r="CZ203" s="202" t="s">
        <v>5791</v>
      </c>
      <c r="DA203" s="202" t="s">
        <v>5791</v>
      </c>
      <c r="DB203" s="203" t="s">
        <v>5791</v>
      </c>
      <c r="DC203" s="201" t="s">
        <v>5791</v>
      </c>
      <c r="DD203" s="202" t="s">
        <v>5791</v>
      </c>
      <c r="DE203" s="203" t="s">
        <v>5791</v>
      </c>
      <c r="DF203" s="274" t="s">
        <v>5791</v>
      </c>
      <c r="DG203" s="310" t="s">
        <v>4422</v>
      </c>
      <c r="DH203" s="310">
        <v>640</v>
      </c>
      <c r="DI203" s="32">
        <v>730</v>
      </c>
      <c r="DJ203" s="310">
        <v>800</v>
      </c>
      <c r="DK203" s="32">
        <v>940</v>
      </c>
      <c r="DL203" s="60">
        <v>200000</v>
      </c>
      <c r="DM203" s="40" t="s">
        <v>15</v>
      </c>
      <c r="DN203" s="303" t="s">
        <v>6053</v>
      </c>
      <c r="DO203" s="306" t="s">
        <v>4565</v>
      </c>
    </row>
    <row r="204" spans="1:119">
      <c r="A204" s="301">
        <v>199</v>
      </c>
      <c r="B204" s="349"/>
      <c r="C204" s="349"/>
      <c r="D204" s="360"/>
      <c r="E204" s="360"/>
      <c r="F204" s="349"/>
      <c r="G204" s="349"/>
      <c r="H204" s="349"/>
      <c r="I204" s="349"/>
      <c r="J204" s="286" t="s">
        <v>4539</v>
      </c>
      <c r="K204" s="301" t="s">
        <v>4534</v>
      </c>
      <c r="L204" s="310" t="s">
        <v>6058</v>
      </c>
      <c r="M204" s="301" t="s">
        <v>4508</v>
      </c>
      <c r="N204" s="310" t="s">
        <v>4702</v>
      </c>
      <c r="O204" s="18" t="s">
        <v>4506</v>
      </c>
      <c r="P204" s="310" t="s">
        <v>4420</v>
      </c>
      <c r="Q204" s="310" t="s">
        <v>4420</v>
      </c>
      <c r="R204" s="310" t="s">
        <v>6164</v>
      </c>
      <c r="S204" s="310">
        <v>6</v>
      </c>
      <c r="T204" s="59" t="s">
        <v>4420</v>
      </c>
      <c r="U204" s="59" t="s">
        <v>5791</v>
      </c>
      <c r="V204" s="59" t="s">
        <v>4420</v>
      </c>
      <c r="W204" s="59" t="s">
        <v>5791</v>
      </c>
      <c r="X204" s="310" t="s">
        <v>4420</v>
      </c>
      <c r="Y204" s="310" t="s">
        <v>5791</v>
      </c>
      <c r="Z204" s="310" t="s">
        <v>4558</v>
      </c>
      <c r="AA204" s="18">
        <v>6</v>
      </c>
      <c r="AB204" s="224">
        <v>0</v>
      </c>
      <c r="AC204" s="140">
        <v>0</v>
      </c>
      <c r="AD204" s="301" t="s">
        <v>4803</v>
      </c>
      <c r="AE204" s="21">
        <f t="shared" si="113"/>
        <v>304.79999999999995</v>
      </c>
      <c r="AF204" s="21">
        <f t="shared" si="114"/>
        <v>152.39999999999998</v>
      </c>
      <c r="AG204" s="21">
        <f t="shared" si="115"/>
        <v>9.5249999999999986</v>
      </c>
      <c r="AH204" s="21">
        <f t="shared" si="116"/>
        <v>6.35</v>
      </c>
      <c r="AI204" s="32">
        <v>2716</v>
      </c>
      <c r="AJ204" s="301" t="s">
        <v>4748</v>
      </c>
      <c r="AK204" s="21">
        <f t="shared" si="108"/>
        <v>406.4</v>
      </c>
      <c r="AL204" s="21">
        <f t="shared" si="109"/>
        <v>152.39999999999998</v>
      </c>
      <c r="AM204" s="21">
        <f t="shared" si="119"/>
        <v>6.35</v>
      </c>
      <c r="AN204" s="21">
        <f t="shared" si="119"/>
        <v>6.35</v>
      </c>
      <c r="AO204" s="21">
        <f t="shared" si="110"/>
        <v>1676.3999999999999</v>
      </c>
      <c r="AP204" s="21">
        <f t="shared" si="69"/>
        <v>109736597.1258291</v>
      </c>
      <c r="AQ204" s="24">
        <f t="shared" si="70"/>
        <v>633206.3948749993</v>
      </c>
      <c r="AR204" s="21">
        <f t="shared" si="117"/>
        <v>9.5249999999999986</v>
      </c>
      <c r="AS204" s="21">
        <f t="shared" si="111"/>
        <v>152.39999999999998</v>
      </c>
      <c r="AT204" s="21">
        <f t="shared" si="112"/>
        <v>406.4</v>
      </c>
      <c r="AU204" s="310">
        <v>0</v>
      </c>
      <c r="AV204" s="310">
        <v>0</v>
      </c>
      <c r="AW204" s="301" t="s">
        <v>5806</v>
      </c>
      <c r="AX204" s="310" t="s">
        <v>4498</v>
      </c>
      <c r="AY204" s="21">
        <v>124.55</v>
      </c>
      <c r="AZ204" s="21">
        <f>5/8*25.4</f>
        <v>15.875</v>
      </c>
      <c r="BA204" s="310">
        <v>165</v>
      </c>
      <c r="BB204" s="21">
        <f>1.375*25.4+AM204</f>
        <v>41.274999999999999</v>
      </c>
      <c r="BC204" s="21">
        <f>1.375*25.4+AM204</f>
        <v>41.274999999999999</v>
      </c>
      <c r="BD204" s="21">
        <v>0</v>
      </c>
      <c r="BE204" s="21">
        <f>2.75*25.4</f>
        <v>69.849999999999994</v>
      </c>
      <c r="BF204" s="21">
        <f t="shared" si="118"/>
        <v>323.85000000000002</v>
      </c>
      <c r="BG204" s="310" t="s">
        <v>4470</v>
      </c>
      <c r="BH204" s="310" t="s">
        <v>6204</v>
      </c>
      <c r="BI204" s="310" t="s">
        <v>6204</v>
      </c>
      <c r="BJ204" s="310">
        <v>2</v>
      </c>
      <c r="BK204" s="310">
        <v>4</v>
      </c>
      <c r="BL204" s="196" t="s">
        <v>5791</v>
      </c>
      <c r="BM204" s="197" t="s">
        <v>5791</v>
      </c>
      <c r="BN204" s="197" t="s">
        <v>5791</v>
      </c>
      <c r="BO204" s="197" t="s">
        <v>5791</v>
      </c>
      <c r="BP204" s="197" t="s">
        <v>5791</v>
      </c>
      <c r="BQ204" s="197" t="s">
        <v>5791</v>
      </c>
      <c r="BR204" s="197" t="s">
        <v>5791</v>
      </c>
      <c r="BS204" s="197" t="s">
        <v>5791</v>
      </c>
      <c r="BT204" s="196" t="s">
        <v>5791</v>
      </c>
      <c r="BU204" s="197" t="s">
        <v>5791</v>
      </c>
      <c r="BV204" s="197" t="s">
        <v>5791</v>
      </c>
      <c r="BW204" s="197" t="s">
        <v>5791</v>
      </c>
      <c r="BX204" s="197" t="s">
        <v>5791</v>
      </c>
      <c r="BY204" s="197" t="s">
        <v>5791</v>
      </c>
      <c r="BZ204" s="212" t="s">
        <v>5791</v>
      </c>
      <c r="CA204" s="197" t="s">
        <v>5791</v>
      </c>
      <c r="CB204" s="197" t="s">
        <v>5791</v>
      </c>
      <c r="CC204" s="197" t="s">
        <v>5791</v>
      </c>
      <c r="CD204" s="197" t="s">
        <v>5791</v>
      </c>
      <c r="CE204" s="197" t="s">
        <v>5791</v>
      </c>
      <c r="CF204" s="212" t="s">
        <v>5791</v>
      </c>
      <c r="CG204" s="310" t="s">
        <v>4535</v>
      </c>
      <c r="CH204" s="21">
        <v>345</v>
      </c>
      <c r="CI204" s="21">
        <v>448.57308560000001</v>
      </c>
      <c r="CJ204" s="21">
        <v>450</v>
      </c>
      <c r="CK204" s="21">
        <v>586.05459999999994</v>
      </c>
      <c r="CL204" s="66">
        <v>200000</v>
      </c>
      <c r="CM204" s="301" t="s">
        <v>4535</v>
      </c>
      <c r="CN204" s="310">
        <v>345</v>
      </c>
      <c r="CO204" s="21">
        <v>461.94891999999999</v>
      </c>
      <c r="CP204" s="310">
        <v>450</v>
      </c>
      <c r="CQ204" s="21">
        <v>579.15984000000003</v>
      </c>
      <c r="CR204" s="66">
        <v>200000</v>
      </c>
      <c r="CS204" s="310" t="s">
        <v>4535</v>
      </c>
      <c r="CT204" s="59">
        <v>345</v>
      </c>
      <c r="CU204" s="21">
        <v>368.86966000000001</v>
      </c>
      <c r="CV204" s="59">
        <v>450</v>
      </c>
      <c r="CW204" s="21">
        <v>579.15984000000003</v>
      </c>
      <c r="CX204" s="60">
        <v>200000</v>
      </c>
      <c r="CY204" s="201" t="s">
        <v>5791</v>
      </c>
      <c r="CZ204" s="202" t="s">
        <v>5791</v>
      </c>
      <c r="DA204" s="202" t="s">
        <v>5791</v>
      </c>
      <c r="DB204" s="203" t="s">
        <v>5791</v>
      </c>
      <c r="DC204" s="201" t="s">
        <v>5791</v>
      </c>
      <c r="DD204" s="202" t="s">
        <v>5791</v>
      </c>
      <c r="DE204" s="203" t="s">
        <v>5791</v>
      </c>
      <c r="DF204" s="274" t="s">
        <v>5791</v>
      </c>
      <c r="DG204" s="310" t="s">
        <v>4422</v>
      </c>
      <c r="DH204" s="310">
        <v>640</v>
      </c>
      <c r="DI204" s="32">
        <v>730</v>
      </c>
      <c r="DJ204" s="310">
        <v>800</v>
      </c>
      <c r="DK204" s="32">
        <v>940</v>
      </c>
      <c r="DL204" s="60">
        <v>200000</v>
      </c>
      <c r="DM204" s="40" t="s">
        <v>15</v>
      </c>
      <c r="DN204" s="303" t="s">
        <v>6053</v>
      </c>
      <c r="DO204" s="306" t="s">
        <v>4565</v>
      </c>
    </row>
    <row r="205" spans="1:119">
      <c r="A205" s="301">
        <v>200</v>
      </c>
      <c r="B205" s="349"/>
      <c r="C205" s="349"/>
      <c r="D205" s="360"/>
      <c r="E205" s="360"/>
      <c r="F205" s="349"/>
      <c r="G205" s="349"/>
      <c r="H205" s="349"/>
      <c r="I205" s="349"/>
      <c r="J205" s="286" t="s">
        <v>4542</v>
      </c>
      <c r="K205" s="301" t="s">
        <v>4534</v>
      </c>
      <c r="L205" s="310" t="s">
        <v>6058</v>
      </c>
      <c r="M205" s="301" t="s">
        <v>4508</v>
      </c>
      <c r="N205" s="310" t="s">
        <v>4702</v>
      </c>
      <c r="O205" s="18" t="s">
        <v>4506</v>
      </c>
      <c r="P205" s="310" t="s">
        <v>4420</v>
      </c>
      <c r="Q205" s="310" t="s">
        <v>4420</v>
      </c>
      <c r="R205" s="310" t="s">
        <v>6164</v>
      </c>
      <c r="S205" s="310">
        <v>6</v>
      </c>
      <c r="T205" s="59" t="s">
        <v>4420</v>
      </c>
      <c r="U205" s="59" t="s">
        <v>5791</v>
      </c>
      <c r="V205" s="59" t="s">
        <v>4420</v>
      </c>
      <c r="W205" s="59" t="s">
        <v>5791</v>
      </c>
      <c r="X205" s="310" t="s">
        <v>4420</v>
      </c>
      <c r="Y205" s="310" t="s">
        <v>5791</v>
      </c>
      <c r="Z205" s="310" t="s">
        <v>4558</v>
      </c>
      <c r="AA205" s="18">
        <v>6</v>
      </c>
      <c r="AB205" s="224">
        <v>0</v>
      </c>
      <c r="AC205" s="140">
        <v>0</v>
      </c>
      <c r="AD205" s="301" t="s">
        <v>4803</v>
      </c>
      <c r="AE205" s="21">
        <f t="shared" si="113"/>
        <v>304.79999999999995</v>
      </c>
      <c r="AF205" s="21">
        <f t="shared" si="114"/>
        <v>152.39999999999998</v>
      </c>
      <c r="AG205" s="21">
        <f t="shared" si="115"/>
        <v>9.5249999999999986</v>
      </c>
      <c r="AH205" s="21">
        <f t="shared" si="116"/>
        <v>6.35</v>
      </c>
      <c r="AI205" s="32">
        <v>2716</v>
      </c>
      <c r="AJ205" s="301" t="s">
        <v>4748</v>
      </c>
      <c r="AK205" s="21">
        <f t="shared" si="108"/>
        <v>406.4</v>
      </c>
      <c r="AL205" s="21">
        <f t="shared" si="109"/>
        <v>152.39999999999998</v>
      </c>
      <c r="AM205" s="21">
        <f t="shared" si="119"/>
        <v>6.35</v>
      </c>
      <c r="AN205" s="21">
        <f t="shared" si="119"/>
        <v>6.35</v>
      </c>
      <c r="AO205" s="21">
        <f t="shared" si="110"/>
        <v>1676.3999999999999</v>
      </c>
      <c r="AP205" s="21">
        <f t="shared" si="69"/>
        <v>109736597.1258291</v>
      </c>
      <c r="AQ205" s="24">
        <f t="shared" si="70"/>
        <v>633206.3948749993</v>
      </c>
      <c r="AR205" s="21">
        <f t="shared" si="117"/>
        <v>9.5249999999999986</v>
      </c>
      <c r="AS205" s="21">
        <f t="shared" si="111"/>
        <v>152.39999999999998</v>
      </c>
      <c r="AT205" s="21">
        <f t="shared" si="112"/>
        <v>406.4</v>
      </c>
      <c r="AU205" s="310">
        <v>0</v>
      </c>
      <c r="AV205" s="310">
        <v>0</v>
      </c>
      <c r="AW205" s="301" t="s">
        <v>5806</v>
      </c>
      <c r="AX205" s="310" t="s">
        <v>4498</v>
      </c>
      <c r="AY205" s="21">
        <v>124.55</v>
      </c>
      <c r="AZ205" s="21">
        <f>3/4*25.4</f>
        <v>19.049999999999997</v>
      </c>
      <c r="BA205" s="310">
        <v>241</v>
      </c>
      <c r="BB205" s="21">
        <f>1.5*25.4+AM205</f>
        <v>44.449999999999996</v>
      </c>
      <c r="BC205" s="21">
        <f>1.5*25.4+AM205</f>
        <v>44.449999999999996</v>
      </c>
      <c r="BD205" s="21">
        <f>3*25.4</f>
        <v>76.199999999999989</v>
      </c>
      <c r="BE205" s="21">
        <f>3.5*25.4</f>
        <v>88.899999999999991</v>
      </c>
      <c r="BF205" s="21">
        <f>AT205-BB205-BC205-2*BD205</f>
        <v>165.10000000000002</v>
      </c>
      <c r="BG205" s="310" t="s">
        <v>4420</v>
      </c>
      <c r="BH205" s="310" t="s">
        <v>4465</v>
      </c>
      <c r="BI205" s="310" t="s">
        <v>4465</v>
      </c>
      <c r="BJ205" s="310">
        <v>4</v>
      </c>
      <c r="BK205" s="310">
        <v>8</v>
      </c>
      <c r="BL205" s="196" t="s">
        <v>5791</v>
      </c>
      <c r="BM205" s="197" t="s">
        <v>5791</v>
      </c>
      <c r="BN205" s="197" t="s">
        <v>5791</v>
      </c>
      <c r="BO205" s="197" t="s">
        <v>5791</v>
      </c>
      <c r="BP205" s="197" t="s">
        <v>5791</v>
      </c>
      <c r="BQ205" s="197" t="s">
        <v>5791</v>
      </c>
      <c r="BR205" s="197" t="s">
        <v>5791</v>
      </c>
      <c r="BS205" s="197" t="s">
        <v>5791</v>
      </c>
      <c r="BT205" s="196" t="s">
        <v>5791</v>
      </c>
      <c r="BU205" s="197" t="s">
        <v>5791</v>
      </c>
      <c r="BV205" s="197" t="s">
        <v>5791</v>
      </c>
      <c r="BW205" s="197" t="s">
        <v>5791</v>
      </c>
      <c r="BX205" s="197" t="s">
        <v>5791</v>
      </c>
      <c r="BY205" s="197" t="s">
        <v>5791</v>
      </c>
      <c r="BZ205" s="212" t="s">
        <v>5791</v>
      </c>
      <c r="CA205" s="197" t="s">
        <v>5791</v>
      </c>
      <c r="CB205" s="197" t="s">
        <v>5791</v>
      </c>
      <c r="CC205" s="197" t="s">
        <v>5791</v>
      </c>
      <c r="CD205" s="197" t="s">
        <v>5791</v>
      </c>
      <c r="CE205" s="197" t="s">
        <v>5791</v>
      </c>
      <c r="CF205" s="212" t="s">
        <v>5791</v>
      </c>
      <c r="CG205" s="310" t="s">
        <v>4535</v>
      </c>
      <c r="CH205" s="21">
        <v>345</v>
      </c>
      <c r="CI205" s="21">
        <v>441.16121859999998</v>
      </c>
      <c r="CJ205" s="21">
        <v>450</v>
      </c>
      <c r="CK205" s="21">
        <v>579.15984000000003</v>
      </c>
      <c r="CL205" s="66">
        <v>200000</v>
      </c>
      <c r="CM205" s="301" t="s">
        <v>4535</v>
      </c>
      <c r="CN205" s="310">
        <v>345</v>
      </c>
      <c r="CO205" s="21">
        <v>466.5339353999999</v>
      </c>
      <c r="CP205" s="310">
        <v>450</v>
      </c>
      <c r="CQ205" s="21">
        <v>582.60721999999998</v>
      </c>
      <c r="CR205" s="66">
        <v>200000</v>
      </c>
      <c r="CS205" s="310" t="s">
        <v>4535</v>
      </c>
      <c r="CT205" s="59">
        <v>345</v>
      </c>
      <c r="CU205" s="21">
        <v>363.35385200000002</v>
      </c>
      <c r="CV205" s="59">
        <v>450</v>
      </c>
      <c r="CW205" s="21">
        <v>570.19665199999997</v>
      </c>
      <c r="CX205" s="60">
        <v>200000</v>
      </c>
      <c r="CY205" s="201" t="s">
        <v>5791</v>
      </c>
      <c r="CZ205" s="202" t="s">
        <v>5791</v>
      </c>
      <c r="DA205" s="202" t="s">
        <v>5791</v>
      </c>
      <c r="DB205" s="203" t="s">
        <v>5791</v>
      </c>
      <c r="DC205" s="201" t="s">
        <v>5791</v>
      </c>
      <c r="DD205" s="202" t="s">
        <v>5791</v>
      </c>
      <c r="DE205" s="203" t="s">
        <v>5791</v>
      </c>
      <c r="DF205" s="274" t="s">
        <v>5791</v>
      </c>
      <c r="DG205" s="310" t="s">
        <v>4422</v>
      </c>
      <c r="DH205" s="310">
        <v>640</v>
      </c>
      <c r="DI205" s="32">
        <v>730</v>
      </c>
      <c r="DJ205" s="310">
        <v>800</v>
      </c>
      <c r="DK205" s="32">
        <v>940</v>
      </c>
      <c r="DL205" s="60">
        <v>200000</v>
      </c>
      <c r="DM205" s="40" t="s">
        <v>4795</v>
      </c>
      <c r="DN205" s="303" t="s">
        <v>6053</v>
      </c>
      <c r="DO205" s="306" t="s">
        <v>4565</v>
      </c>
    </row>
    <row r="206" spans="1:119">
      <c r="A206" s="301">
        <v>201</v>
      </c>
      <c r="B206" s="349"/>
      <c r="C206" s="349"/>
      <c r="D206" s="360"/>
      <c r="E206" s="360"/>
      <c r="F206" s="349"/>
      <c r="G206" s="349"/>
      <c r="H206" s="349"/>
      <c r="I206" s="349"/>
      <c r="J206" s="286" t="s">
        <v>4540</v>
      </c>
      <c r="K206" s="301" t="s">
        <v>4534</v>
      </c>
      <c r="L206" s="310" t="s">
        <v>6058</v>
      </c>
      <c r="M206" s="301" t="s">
        <v>4508</v>
      </c>
      <c r="N206" s="310" t="s">
        <v>4702</v>
      </c>
      <c r="O206" s="18" t="s">
        <v>4506</v>
      </c>
      <c r="P206" s="310" t="s">
        <v>4420</v>
      </c>
      <c r="Q206" s="310" t="s">
        <v>4420</v>
      </c>
      <c r="R206" s="310" t="s">
        <v>6164</v>
      </c>
      <c r="S206" s="310">
        <v>6</v>
      </c>
      <c r="T206" s="59" t="s">
        <v>4420</v>
      </c>
      <c r="U206" s="59" t="s">
        <v>5791</v>
      </c>
      <c r="V206" s="59" t="s">
        <v>4420</v>
      </c>
      <c r="W206" s="59" t="s">
        <v>5791</v>
      </c>
      <c r="X206" s="310" t="s">
        <v>4420</v>
      </c>
      <c r="Y206" s="310" t="s">
        <v>5791</v>
      </c>
      <c r="Z206" s="310" t="s">
        <v>4558</v>
      </c>
      <c r="AA206" s="18">
        <v>6</v>
      </c>
      <c r="AB206" s="224">
        <v>0</v>
      </c>
      <c r="AC206" s="140">
        <v>0</v>
      </c>
      <c r="AD206" s="301" t="s">
        <v>4803</v>
      </c>
      <c r="AE206" s="21">
        <f t="shared" si="113"/>
        <v>304.79999999999995</v>
      </c>
      <c r="AF206" s="21">
        <f t="shared" si="114"/>
        <v>152.39999999999998</v>
      </c>
      <c r="AG206" s="21">
        <f t="shared" si="115"/>
        <v>9.5249999999999986</v>
      </c>
      <c r="AH206" s="21">
        <f t="shared" si="116"/>
        <v>6.35</v>
      </c>
      <c r="AI206" s="32">
        <v>2716</v>
      </c>
      <c r="AJ206" s="301" t="s">
        <v>4748</v>
      </c>
      <c r="AK206" s="21">
        <f t="shared" si="108"/>
        <v>406.4</v>
      </c>
      <c r="AL206" s="21">
        <f t="shared" si="109"/>
        <v>152.39999999999998</v>
      </c>
      <c r="AM206" s="21">
        <f t="shared" si="119"/>
        <v>6.35</v>
      </c>
      <c r="AN206" s="21">
        <f t="shared" si="119"/>
        <v>6.35</v>
      </c>
      <c r="AO206" s="21">
        <f t="shared" si="110"/>
        <v>1676.3999999999999</v>
      </c>
      <c r="AP206" s="21">
        <f t="shared" si="69"/>
        <v>109736597.1258291</v>
      </c>
      <c r="AQ206" s="24">
        <f t="shared" si="70"/>
        <v>633206.3948749993</v>
      </c>
      <c r="AR206" s="21">
        <f t="shared" si="117"/>
        <v>9.5249999999999986</v>
      </c>
      <c r="AS206" s="21">
        <f t="shared" si="111"/>
        <v>152.39999999999998</v>
      </c>
      <c r="AT206" s="21">
        <f t="shared" si="112"/>
        <v>406.4</v>
      </c>
      <c r="AU206" s="310">
        <v>0</v>
      </c>
      <c r="AV206" s="310">
        <v>0</v>
      </c>
      <c r="AW206" s="301" t="s">
        <v>5806</v>
      </c>
      <c r="AX206" s="310" t="s">
        <v>4498</v>
      </c>
      <c r="AY206" s="21">
        <v>124.55</v>
      </c>
      <c r="AZ206" s="21">
        <f>5/8*25.4</f>
        <v>15.875</v>
      </c>
      <c r="BA206" s="310">
        <v>165</v>
      </c>
      <c r="BB206" s="21">
        <f>1.375*25.4+AM206</f>
        <v>41.274999999999999</v>
      </c>
      <c r="BC206" s="21">
        <f>1.375*25.4+AM206</f>
        <v>41.274999999999999</v>
      </c>
      <c r="BD206" s="21">
        <f>3*25.4</f>
        <v>76.199999999999989</v>
      </c>
      <c r="BE206" s="21">
        <f>2.75*25.4</f>
        <v>69.849999999999994</v>
      </c>
      <c r="BF206" s="21">
        <f t="shared" ref="BF206:BF207" si="120">AT206-BB206-BC206-2*BD206</f>
        <v>171.45000000000005</v>
      </c>
      <c r="BG206" s="310" t="s">
        <v>4420</v>
      </c>
      <c r="BH206" s="310" t="s">
        <v>4465</v>
      </c>
      <c r="BI206" s="310" t="s">
        <v>4465</v>
      </c>
      <c r="BJ206" s="310">
        <v>4</v>
      </c>
      <c r="BK206" s="310">
        <v>8</v>
      </c>
      <c r="BL206" s="196" t="s">
        <v>5791</v>
      </c>
      <c r="BM206" s="197" t="s">
        <v>5791</v>
      </c>
      <c r="BN206" s="197" t="s">
        <v>5791</v>
      </c>
      <c r="BO206" s="197" t="s">
        <v>5791</v>
      </c>
      <c r="BP206" s="197" t="s">
        <v>5791</v>
      </c>
      <c r="BQ206" s="197" t="s">
        <v>5791</v>
      </c>
      <c r="BR206" s="197" t="s">
        <v>5791</v>
      </c>
      <c r="BS206" s="197" t="s">
        <v>5791</v>
      </c>
      <c r="BT206" s="196" t="s">
        <v>5791</v>
      </c>
      <c r="BU206" s="197" t="s">
        <v>5791</v>
      </c>
      <c r="BV206" s="197" t="s">
        <v>5791</v>
      </c>
      <c r="BW206" s="197" t="s">
        <v>5791</v>
      </c>
      <c r="BX206" s="197" t="s">
        <v>5791</v>
      </c>
      <c r="BY206" s="197" t="s">
        <v>5791</v>
      </c>
      <c r="BZ206" s="212" t="s">
        <v>5791</v>
      </c>
      <c r="CA206" s="197" t="s">
        <v>5791</v>
      </c>
      <c r="CB206" s="197" t="s">
        <v>5791</v>
      </c>
      <c r="CC206" s="197" t="s">
        <v>5791</v>
      </c>
      <c r="CD206" s="197" t="s">
        <v>5791</v>
      </c>
      <c r="CE206" s="197" t="s">
        <v>5791</v>
      </c>
      <c r="CF206" s="212" t="s">
        <v>5791</v>
      </c>
      <c r="CG206" s="310" t="s">
        <v>4535</v>
      </c>
      <c r="CH206" s="21">
        <v>345</v>
      </c>
      <c r="CI206" s="21">
        <v>444.71202</v>
      </c>
      <c r="CJ206" s="21">
        <v>450</v>
      </c>
      <c r="CK206" s="21">
        <v>586.05459999999994</v>
      </c>
      <c r="CL206" s="66">
        <v>200000</v>
      </c>
      <c r="CM206" s="301" t="s">
        <v>4535</v>
      </c>
      <c r="CN206" s="310">
        <v>345</v>
      </c>
      <c r="CO206" s="21">
        <v>465.3963</v>
      </c>
      <c r="CP206" s="310">
        <v>450</v>
      </c>
      <c r="CQ206" s="21">
        <v>582.60721999999998</v>
      </c>
      <c r="CR206" s="66">
        <v>200000</v>
      </c>
      <c r="CS206" s="310" t="s">
        <v>4535</v>
      </c>
      <c r="CT206" s="59">
        <v>345</v>
      </c>
      <c r="CU206" s="21">
        <v>365.2154372</v>
      </c>
      <c r="CV206" s="59">
        <v>450</v>
      </c>
      <c r="CW206" s="21">
        <v>571.575604</v>
      </c>
      <c r="CX206" s="60">
        <v>200000</v>
      </c>
      <c r="CY206" s="201" t="s">
        <v>5791</v>
      </c>
      <c r="CZ206" s="202" t="s">
        <v>5791</v>
      </c>
      <c r="DA206" s="202" t="s">
        <v>5791</v>
      </c>
      <c r="DB206" s="203" t="s">
        <v>5791</v>
      </c>
      <c r="DC206" s="201" t="s">
        <v>5791</v>
      </c>
      <c r="DD206" s="202" t="s">
        <v>5791</v>
      </c>
      <c r="DE206" s="203" t="s">
        <v>5791</v>
      </c>
      <c r="DF206" s="274" t="s">
        <v>5791</v>
      </c>
      <c r="DG206" s="310" t="s">
        <v>4422</v>
      </c>
      <c r="DH206" s="310">
        <v>640</v>
      </c>
      <c r="DI206" s="32">
        <v>730</v>
      </c>
      <c r="DJ206" s="310">
        <v>800</v>
      </c>
      <c r="DK206" s="32">
        <v>940</v>
      </c>
      <c r="DL206" s="60">
        <v>200000</v>
      </c>
      <c r="DM206" s="40" t="s">
        <v>15</v>
      </c>
      <c r="DN206" s="303" t="s">
        <v>6053</v>
      </c>
      <c r="DO206" s="306" t="s">
        <v>4565</v>
      </c>
    </row>
    <row r="207" spans="1:119" ht="15.6" customHeight="1" thickBot="1">
      <c r="A207" s="308">
        <v>202</v>
      </c>
      <c r="B207" s="350"/>
      <c r="C207" s="350"/>
      <c r="D207" s="372"/>
      <c r="E207" s="372"/>
      <c r="F207" s="350"/>
      <c r="G207" s="350"/>
      <c r="H207" s="350"/>
      <c r="I207" s="350"/>
      <c r="J207" s="285" t="s">
        <v>4541</v>
      </c>
      <c r="K207" s="308" t="s">
        <v>4534</v>
      </c>
      <c r="L207" s="311" t="s">
        <v>6058</v>
      </c>
      <c r="M207" s="308" t="s">
        <v>4508</v>
      </c>
      <c r="N207" s="311" t="s">
        <v>4702</v>
      </c>
      <c r="O207" s="14" t="s">
        <v>4506</v>
      </c>
      <c r="P207" s="311" t="s">
        <v>4420</v>
      </c>
      <c r="Q207" s="311" t="s">
        <v>4420</v>
      </c>
      <c r="R207" s="311" t="s">
        <v>6164</v>
      </c>
      <c r="S207" s="311">
        <v>6</v>
      </c>
      <c r="T207" s="86" t="s">
        <v>4420</v>
      </c>
      <c r="U207" s="86" t="s">
        <v>5791</v>
      </c>
      <c r="V207" s="86" t="s">
        <v>4420</v>
      </c>
      <c r="W207" s="86" t="s">
        <v>5791</v>
      </c>
      <c r="X207" s="311" t="s">
        <v>4420</v>
      </c>
      <c r="Y207" s="311" t="s">
        <v>5791</v>
      </c>
      <c r="Z207" s="311" t="s">
        <v>4558</v>
      </c>
      <c r="AA207" s="14">
        <v>6</v>
      </c>
      <c r="AB207" s="224">
        <v>0</v>
      </c>
      <c r="AC207" s="140">
        <v>0</v>
      </c>
      <c r="AD207" s="308" t="s">
        <v>4803</v>
      </c>
      <c r="AE207" s="23">
        <f t="shared" si="113"/>
        <v>304.79999999999995</v>
      </c>
      <c r="AF207" s="23">
        <f t="shared" si="114"/>
        <v>152.39999999999998</v>
      </c>
      <c r="AG207" s="23">
        <f t="shared" si="115"/>
        <v>9.5249999999999986</v>
      </c>
      <c r="AH207" s="23">
        <f t="shared" si="116"/>
        <v>6.35</v>
      </c>
      <c r="AI207" s="34">
        <v>2716</v>
      </c>
      <c r="AJ207" s="301" t="s">
        <v>4748</v>
      </c>
      <c r="AK207" s="21">
        <f t="shared" si="108"/>
        <v>406.4</v>
      </c>
      <c r="AL207" s="21">
        <f t="shared" si="109"/>
        <v>152.39999999999998</v>
      </c>
      <c r="AM207" s="21">
        <f t="shared" si="119"/>
        <v>6.35</v>
      </c>
      <c r="AN207" s="21">
        <f t="shared" si="119"/>
        <v>6.35</v>
      </c>
      <c r="AO207" s="21">
        <f t="shared" si="110"/>
        <v>1676.3999999999999</v>
      </c>
      <c r="AP207" s="21">
        <f t="shared" si="69"/>
        <v>109736597.1258291</v>
      </c>
      <c r="AQ207" s="24">
        <f t="shared" si="70"/>
        <v>633206.3948749993</v>
      </c>
      <c r="AR207" s="21">
        <f t="shared" si="117"/>
        <v>9.5249999999999986</v>
      </c>
      <c r="AS207" s="21">
        <f t="shared" si="111"/>
        <v>152.39999999999998</v>
      </c>
      <c r="AT207" s="21">
        <f t="shared" si="112"/>
        <v>406.4</v>
      </c>
      <c r="AU207" s="310">
        <v>0</v>
      </c>
      <c r="AV207" s="310">
        <v>0</v>
      </c>
      <c r="AW207" s="301" t="s">
        <v>5806</v>
      </c>
      <c r="AX207" s="310" t="s">
        <v>4498</v>
      </c>
      <c r="AY207" s="21">
        <v>124.55</v>
      </c>
      <c r="AZ207" s="21">
        <f>5/8*25.4</f>
        <v>15.875</v>
      </c>
      <c r="BA207" s="310">
        <v>165</v>
      </c>
      <c r="BB207" s="21">
        <f>1.375*25.4+AM207</f>
        <v>41.274999999999999</v>
      </c>
      <c r="BC207" s="21">
        <f>1.375*25.4+AM207</f>
        <v>41.274999999999999</v>
      </c>
      <c r="BD207" s="21">
        <f>3*25.4</f>
        <v>76.199999999999989</v>
      </c>
      <c r="BE207" s="21">
        <f>2.75*25.4</f>
        <v>69.849999999999994</v>
      </c>
      <c r="BF207" s="21">
        <f t="shared" si="120"/>
        <v>171.45000000000005</v>
      </c>
      <c r="BG207" s="310" t="s">
        <v>4420</v>
      </c>
      <c r="BH207" s="310" t="s">
        <v>4465</v>
      </c>
      <c r="BI207" s="310" t="s">
        <v>4465</v>
      </c>
      <c r="BJ207" s="310">
        <v>4</v>
      </c>
      <c r="BK207" s="310">
        <v>8</v>
      </c>
      <c r="BL207" s="196" t="s">
        <v>5791</v>
      </c>
      <c r="BM207" s="197" t="s">
        <v>5791</v>
      </c>
      <c r="BN207" s="197" t="s">
        <v>5791</v>
      </c>
      <c r="BO207" s="197" t="s">
        <v>5791</v>
      </c>
      <c r="BP207" s="197" t="s">
        <v>5791</v>
      </c>
      <c r="BQ207" s="197" t="s">
        <v>5791</v>
      </c>
      <c r="BR207" s="197" t="s">
        <v>5791</v>
      </c>
      <c r="BS207" s="197" t="s">
        <v>5791</v>
      </c>
      <c r="BT207" s="196" t="s">
        <v>5791</v>
      </c>
      <c r="BU207" s="197" t="s">
        <v>5791</v>
      </c>
      <c r="BV207" s="197" t="s">
        <v>5791</v>
      </c>
      <c r="BW207" s="197" t="s">
        <v>5791</v>
      </c>
      <c r="BX207" s="197" t="s">
        <v>5791</v>
      </c>
      <c r="BY207" s="197" t="s">
        <v>5791</v>
      </c>
      <c r="BZ207" s="212" t="s">
        <v>5791</v>
      </c>
      <c r="CA207" s="197" t="s">
        <v>5791</v>
      </c>
      <c r="CB207" s="197" t="s">
        <v>5791</v>
      </c>
      <c r="CC207" s="197" t="s">
        <v>5791</v>
      </c>
      <c r="CD207" s="197" t="s">
        <v>5791</v>
      </c>
      <c r="CE207" s="197" t="s">
        <v>5791</v>
      </c>
      <c r="CF207" s="212" t="s">
        <v>5791</v>
      </c>
      <c r="CG207" s="310" t="s">
        <v>4535</v>
      </c>
      <c r="CH207" s="21">
        <v>345</v>
      </c>
      <c r="CI207" s="21">
        <v>444.71202</v>
      </c>
      <c r="CJ207" s="21">
        <v>450</v>
      </c>
      <c r="CK207" s="21">
        <v>586.05459999999994</v>
      </c>
      <c r="CL207" s="66">
        <v>200000</v>
      </c>
      <c r="CM207" s="301" t="s">
        <v>4535</v>
      </c>
      <c r="CN207" s="310">
        <v>345</v>
      </c>
      <c r="CO207" s="21">
        <v>465.3963</v>
      </c>
      <c r="CP207" s="310">
        <v>450</v>
      </c>
      <c r="CQ207" s="21">
        <v>582.60721999999998</v>
      </c>
      <c r="CR207" s="66">
        <v>200000</v>
      </c>
      <c r="CS207" s="310" t="s">
        <v>4535</v>
      </c>
      <c r="CT207" s="59">
        <v>345</v>
      </c>
      <c r="CU207" s="21">
        <v>365.42228</v>
      </c>
      <c r="CV207" s="59">
        <v>450</v>
      </c>
      <c r="CW207" s="21">
        <v>572.26508000000001</v>
      </c>
      <c r="CX207" s="60">
        <v>200000</v>
      </c>
      <c r="CY207" s="201" t="s">
        <v>5791</v>
      </c>
      <c r="CZ207" s="202" t="s">
        <v>5791</v>
      </c>
      <c r="DA207" s="202" t="s">
        <v>5791</v>
      </c>
      <c r="DB207" s="203" t="s">
        <v>5791</v>
      </c>
      <c r="DC207" s="201" t="s">
        <v>5791</v>
      </c>
      <c r="DD207" s="202" t="s">
        <v>5791</v>
      </c>
      <c r="DE207" s="203" t="s">
        <v>5791</v>
      </c>
      <c r="DF207" s="274" t="s">
        <v>5791</v>
      </c>
      <c r="DG207" s="310" t="s">
        <v>4422</v>
      </c>
      <c r="DH207" s="310">
        <v>640</v>
      </c>
      <c r="DI207" s="32">
        <v>730</v>
      </c>
      <c r="DJ207" s="310">
        <v>800</v>
      </c>
      <c r="DK207" s="32">
        <v>940</v>
      </c>
      <c r="DL207" s="60">
        <v>200000</v>
      </c>
      <c r="DM207" s="40" t="s">
        <v>15</v>
      </c>
      <c r="DN207" s="303" t="s">
        <v>6053</v>
      </c>
      <c r="DO207" s="306" t="s">
        <v>4565</v>
      </c>
    </row>
    <row r="208" spans="1:119" ht="15.6" customHeight="1">
      <c r="A208" s="301">
        <v>203</v>
      </c>
      <c r="B208" s="351">
        <v>30</v>
      </c>
      <c r="C208" s="351">
        <v>1999</v>
      </c>
      <c r="D208" s="458" t="s">
        <v>4675</v>
      </c>
      <c r="E208" s="373" t="s">
        <v>4853</v>
      </c>
      <c r="F208" s="348">
        <v>17</v>
      </c>
      <c r="G208" s="368" t="s">
        <v>5908</v>
      </c>
      <c r="H208" s="368" t="s">
        <v>5901</v>
      </c>
      <c r="I208" s="368" t="s">
        <v>6237</v>
      </c>
      <c r="J208" s="291" t="s">
        <v>4397</v>
      </c>
      <c r="K208" s="301" t="s">
        <v>4534</v>
      </c>
      <c r="L208" s="310" t="s">
        <v>6060</v>
      </c>
      <c r="M208" s="301" t="s">
        <v>4508</v>
      </c>
      <c r="N208" s="310" t="s">
        <v>4702</v>
      </c>
      <c r="O208" s="18" t="s">
        <v>4506</v>
      </c>
      <c r="P208" s="310" t="s">
        <v>4420</v>
      </c>
      <c r="Q208" s="310" t="s">
        <v>4420</v>
      </c>
      <c r="R208" s="310" t="s">
        <v>4420</v>
      </c>
      <c r="S208" s="310" t="s">
        <v>5791</v>
      </c>
      <c r="T208" s="59" t="s">
        <v>4420</v>
      </c>
      <c r="U208" s="59" t="s">
        <v>5791</v>
      </c>
      <c r="V208" s="59" t="s">
        <v>4420</v>
      </c>
      <c r="W208" s="59" t="s">
        <v>5791</v>
      </c>
      <c r="X208" s="310" t="s">
        <v>4420</v>
      </c>
      <c r="Y208" s="310" t="s">
        <v>5791</v>
      </c>
      <c r="Z208" s="310" t="s">
        <v>6049</v>
      </c>
      <c r="AA208" s="18">
        <v>6</v>
      </c>
      <c r="AB208" s="225">
        <v>0</v>
      </c>
      <c r="AC208" s="152">
        <v>80</v>
      </c>
      <c r="AD208" s="301" t="s">
        <v>4646</v>
      </c>
      <c r="AE208" s="16">
        <f>INDEX('[2]Cross-Section Database'!$C$2:$V$2928,MATCH(AD208,'[2]Cross-Section Database'!$B$2:$B$2928,0),3)</f>
        <v>200</v>
      </c>
      <c r="AF208" s="16">
        <f>INDEX('[2]Cross-Section Database'!$C$2:$V$2928,MATCH(AD208,'[2]Cross-Section Database'!$B$2:$B$2928,0),4)</f>
        <v>200</v>
      </c>
      <c r="AG208" s="16">
        <f>INDEX('[2]Cross-Section Database'!$C$2:$V$2928,MATCH(AD208,'[2]Cross-Section Database'!$B$2:$B$2928,0),6)</f>
        <v>8</v>
      </c>
      <c r="AH208" s="16">
        <f>INDEX('[2]Cross-Section Database'!$C$2:$V$2928,MATCH(AD208,'[2]Cross-Section Database'!$B$2:$B$2928,0),5)</f>
        <v>8</v>
      </c>
      <c r="AI208" s="310">
        <v>1700</v>
      </c>
      <c r="AJ208" s="300" t="s">
        <v>6331</v>
      </c>
      <c r="AK208" s="16">
        <f>INDEX('[2]Cross-Section Database'!$C$2:$V$2928,MATCH(AJ208,'[2]Cross-Section Database'!$B$2:$B$2928,0),3)</f>
        <v>449.8</v>
      </c>
      <c r="AL208" s="16">
        <f>INDEX('[2]Cross-Section Database'!$C$2:$V$2928,MATCH(AJ208,'[2]Cross-Section Database'!$B$2:$B$2928,0),4)</f>
        <v>152.4</v>
      </c>
      <c r="AM208" s="16">
        <f>INDEX('[2]Cross-Section Database'!$C$2:$V$2928,MATCH(AJ208,'[2]Cross-Section Database'!$B$2:$B$2928,0),6)</f>
        <v>10.9</v>
      </c>
      <c r="AN208" s="16">
        <f>INDEX('[2]Cross-Section Database'!$C$2:$V$2928,MATCH(AJ208,'[2]Cross-Section Database'!$B$2:$B$2928,0),5)</f>
        <v>7.6</v>
      </c>
      <c r="AO208" s="16">
        <v>1007</v>
      </c>
      <c r="AP208" s="16">
        <f>INDEX('[2]Cross-Section Database'!$C$2:$V$3928,MATCH(AJ208,'[2]Cross-Section Database'!$B$2:$B$3928,0),11)</f>
        <v>213700000</v>
      </c>
      <c r="AQ208" s="26">
        <f>INDEX('[2]Cross-Section Database'!$C$2:$V$3928,MATCH(AJ208,'[2]Cross-Section Database'!$B$2:$B$3928,0),12)</f>
        <v>1096000</v>
      </c>
      <c r="AR208" s="16">
        <v>10</v>
      </c>
      <c r="AS208" s="16">
        <v>160</v>
      </c>
      <c r="AT208" s="16">
        <v>450</v>
      </c>
      <c r="AU208" s="16">
        <f t="shared" ref="AU208:AU249" si="121">(AT208-AK208)-AV208</f>
        <v>9.9999999999994316E-2</v>
      </c>
      <c r="AV208" s="16">
        <f t="shared" ref="AV208:AV270" si="122">(AT208-AK208)/2</f>
        <v>9.9999999999994316E-2</v>
      </c>
      <c r="AW208" s="300" t="s">
        <v>5806</v>
      </c>
      <c r="AX208" s="309" t="s">
        <v>4705</v>
      </c>
      <c r="AY208" s="16">
        <f t="shared" ref="AY208:AY224" si="123" xml:space="preserve"> 160/AZ208/0.25</f>
        <v>32</v>
      </c>
      <c r="AZ208" s="16">
        <v>20</v>
      </c>
      <c r="BA208" s="309">
        <f t="shared" ref="BA208:BA254" si="124">IF(AZ208=24,353,IF(AZ208=22,303,IF(AZ208=20,245,IF(AZ208=16,157,0))))</f>
        <v>245</v>
      </c>
      <c r="BB208" s="16">
        <v>60</v>
      </c>
      <c r="BC208" s="309">
        <v>90</v>
      </c>
      <c r="BD208" s="16">
        <v>100</v>
      </c>
      <c r="BE208" s="16">
        <v>100</v>
      </c>
      <c r="BF208" s="16">
        <f>AT208-BB208-BC208-2*BD208</f>
        <v>100</v>
      </c>
      <c r="BG208" s="309" t="s">
        <v>4420</v>
      </c>
      <c r="BH208" s="309" t="s">
        <v>4465</v>
      </c>
      <c r="BI208" s="309" t="s">
        <v>4465</v>
      </c>
      <c r="BJ208" s="309">
        <v>4</v>
      </c>
      <c r="BK208" s="17">
        <v>8</v>
      </c>
      <c r="BL208" s="194" t="s">
        <v>5791</v>
      </c>
      <c r="BM208" s="195" t="s">
        <v>5791</v>
      </c>
      <c r="BN208" s="195" t="s">
        <v>5791</v>
      </c>
      <c r="BO208" s="195" t="s">
        <v>5791</v>
      </c>
      <c r="BP208" s="195" t="s">
        <v>5791</v>
      </c>
      <c r="BQ208" s="195" t="s">
        <v>5791</v>
      </c>
      <c r="BR208" s="195" t="s">
        <v>5791</v>
      </c>
      <c r="BS208" s="195" t="s">
        <v>5791</v>
      </c>
      <c r="BT208" s="194" t="s">
        <v>5791</v>
      </c>
      <c r="BU208" s="195" t="s">
        <v>5791</v>
      </c>
      <c r="BV208" s="195" t="s">
        <v>5791</v>
      </c>
      <c r="BW208" s="195" t="s">
        <v>5791</v>
      </c>
      <c r="BX208" s="195" t="s">
        <v>5791</v>
      </c>
      <c r="BY208" s="195" t="s">
        <v>5791</v>
      </c>
      <c r="BZ208" s="213" t="s">
        <v>5791</v>
      </c>
      <c r="CA208" s="195" t="s">
        <v>5791</v>
      </c>
      <c r="CB208" s="195" t="s">
        <v>5791</v>
      </c>
      <c r="CC208" s="195" t="s">
        <v>5791</v>
      </c>
      <c r="CD208" s="195" t="s">
        <v>5791</v>
      </c>
      <c r="CE208" s="195" t="s">
        <v>5791</v>
      </c>
      <c r="CF208" s="213" t="s">
        <v>5791</v>
      </c>
      <c r="CG208" s="300" t="s">
        <v>6319</v>
      </c>
      <c r="CH208" s="309">
        <v>275</v>
      </c>
      <c r="CI208" s="16">
        <v>318</v>
      </c>
      <c r="CJ208" s="309">
        <v>410</v>
      </c>
      <c r="CK208" s="16">
        <v>466</v>
      </c>
      <c r="CL208" s="95">
        <v>201000</v>
      </c>
      <c r="CM208" s="300" t="s">
        <v>6319</v>
      </c>
      <c r="CN208" s="309">
        <v>275</v>
      </c>
      <c r="CO208" s="71">
        <v>318</v>
      </c>
      <c r="CP208" s="64">
        <v>430</v>
      </c>
      <c r="CQ208" s="64">
        <v>466</v>
      </c>
      <c r="CR208" s="95">
        <v>201000</v>
      </c>
      <c r="CS208" s="300" t="s">
        <v>6319</v>
      </c>
      <c r="CT208" s="64">
        <v>275</v>
      </c>
      <c r="CU208" s="30">
        <v>360</v>
      </c>
      <c r="CV208" s="64">
        <v>410</v>
      </c>
      <c r="CW208" s="30">
        <v>530</v>
      </c>
      <c r="CX208" s="65">
        <v>200000</v>
      </c>
      <c r="CY208" s="198" t="s">
        <v>5791</v>
      </c>
      <c r="CZ208" s="199" t="s">
        <v>5791</v>
      </c>
      <c r="DA208" s="199" t="s">
        <v>5791</v>
      </c>
      <c r="DB208" s="200" t="s">
        <v>5791</v>
      </c>
      <c r="DC208" s="198" t="s">
        <v>5791</v>
      </c>
      <c r="DD208" s="199" t="s">
        <v>5791</v>
      </c>
      <c r="DE208" s="200" t="s">
        <v>5791</v>
      </c>
      <c r="DF208" s="273" t="s">
        <v>5791</v>
      </c>
      <c r="DG208" s="309">
        <v>8.8000000000000007</v>
      </c>
      <c r="DH208" s="309">
        <v>640</v>
      </c>
      <c r="DI208" s="30">
        <v>730</v>
      </c>
      <c r="DJ208" s="309">
        <v>800</v>
      </c>
      <c r="DK208" s="30">
        <v>940</v>
      </c>
      <c r="DL208" s="65">
        <v>200000</v>
      </c>
      <c r="DM208" s="42" t="s">
        <v>5839</v>
      </c>
      <c r="DN208" s="300" t="s">
        <v>4435</v>
      </c>
      <c r="DO208" s="305" t="s">
        <v>4565</v>
      </c>
    </row>
    <row r="209" spans="1:119">
      <c r="A209" s="301">
        <v>204</v>
      </c>
      <c r="B209" s="361"/>
      <c r="C209" s="361"/>
      <c r="D209" s="459"/>
      <c r="E209" s="374"/>
      <c r="F209" s="349"/>
      <c r="G209" s="369"/>
      <c r="H209" s="369"/>
      <c r="I209" s="369"/>
      <c r="J209" s="291" t="s">
        <v>4399</v>
      </c>
      <c r="K209" s="301" t="s">
        <v>4534</v>
      </c>
      <c r="L209" s="310" t="s">
        <v>6060</v>
      </c>
      <c r="M209" s="301" t="s">
        <v>4508</v>
      </c>
      <c r="N209" s="310" t="s">
        <v>4702</v>
      </c>
      <c r="O209" s="18" t="s">
        <v>4506</v>
      </c>
      <c r="P209" s="310" t="s">
        <v>4420</v>
      </c>
      <c r="Q209" s="310" t="s">
        <v>4420</v>
      </c>
      <c r="R209" s="310" t="s">
        <v>4420</v>
      </c>
      <c r="S209" s="310" t="s">
        <v>5791</v>
      </c>
      <c r="T209" s="59" t="s">
        <v>4420</v>
      </c>
      <c r="U209" s="59" t="s">
        <v>5791</v>
      </c>
      <c r="V209" s="59" t="s">
        <v>4420</v>
      </c>
      <c r="W209" s="59" t="s">
        <v>5791</v>
      </c>
      <c r="X209" s="310" t="s">
        <v>4420</v>
      </c>
      <c r="Y209" s="310" t="s">
        <v>5791</v>
      </c>
      <c r="Z209" s="310" t="s">
        <v>6049</v>
      </c>
      <c r="AA209" s="18">
        <v>6</v>
      </c>
      <c r="AB209" s="224">
        <v>0</v>
      </c>
      <c r="AC209" s="140">
        <v>80</v>
      </c>
      <c r="AD209" s="301" t="s">
        <v>4646</v>
      </c>
      <c r="AE209" s="21">
        <f>INDEX('[2]Cross-Section Database'!$C$2:$V$2928,MATCH(AD209,'[2]Cross-Section Database'!$B$2:$B$2928,0),3)</f>
        <v>200</v>
      </c>
      <c r="AF209" s="21">
        <f>INDEX('[2]Cross-Section Database'!$C$2:$V$2928,MATCH(AD209,'[2]Cross-Section Database'!$B$2:$B$2928,0),4)</f>
        <v>200</v>
      </c>
      <c r="AG209" s="21">
        <f>INDEX('[2]Cross-Section Database'!$C$2:$V$2928,MATCH(AD209,'[2]Cross-Section Database'!$B$2:$B$2928,0),6)</f>
        <v>8</v>
      </c>
      <c r="AH209" s="21">
        <f>INDEX('[2]Cross-Section Database'!$C$2:$V$2928,MATCH(AD209,'[2]Cross-Section Database'!$B$2:$B$2928,0),5)</f>
        <v>8</v>
      </c>
      <c r="AI209" s="310">
        <v>1700</v>
      </c>
      <c r="AJ209" s="301" t="s">
        <v>4222</v>
      </c>
      <c r="AK209" s="21">
        <f>INDEX('[2]Cross-Section Database'!$C$2:$V$2928,MATCH(AJ209,'[2]Cross-Section Database'!$B$2:$B$2928,0),3)</f>
        <v>351.4</v>
      </c>
      <c r="AL209" s="21">
        <f>INDEX('[2]Cross-Section Database'!$C$2:$V$2928,MATCH(AJ209,'[2]Cross-Section Database'!$B$2:$B$2928,0),4)</f>
        <v>171.1</v>
      </c>
      <c r="AM209" s="21">
        <f>INDEX('[2]Cross-Section Database'!$C$2:$V$2928,MATCH(AJ209,'[2]Cross-Section Database'!$B$2:$B$2928,0),6)</f>
        <v>9.6999999999999993</v>
      </c>
      <c r="AN209" s="21">
        <f>INDEX('[2]Cross-Section Database'!$C$2:$V$2928,MATCH(AJ209,'[2]Cross-Section Database'!$B$2:$B$2928,0),5)</f>
        <v>7</v>
      </c>
      <c r="AO209" s="21">
        <v>1010</v>
      </c>
      <c r="AP209" s="21">
        <f>INDEX('[2]Cross-Section Database'!$C$2:$V$3928,MATCH(AJ209,'[2]Cross-Section Database'!$B$2:$B$3928,0),11)</f>
        <v>120700000</v>
      </c>
      <c r="AQ209" s="24">
        <f>INDEX('[2]Cross-Section Database'!$C$2:$V$3928,MATCH(AJ209,'[2]Cross-Section Database'!$B$2:$B$3928,0),12)</f>
        <v>774600</v>
      </c>
      <c r="AR209" s="21">
        <v>10</v>
      </c>
      <c r="AS209" s="21">
        <v>160</v>
      </c>
      <c r="AT209" s="21">
        <v>350</v>
      </c>
      <c r="AU209" s="21">
        <v>0</v>
      </c>
      <c r="AV209" s="21">
        <v>0</v>
      </c>
      <c r="AW209" s="301" t="s">
        <v>5806</v>
      </c>
      <c r="AX209" s="310" t="s">
        <v>4705</v>
      </c>
      <c r="AY209" s="21">
        <f t="shared" si="123"/>
        <v>32</v>
      </c>
      <c r="AZ209" s="21">
        <v>20</v>
      </c>
      <c r="BA209" s="310">
        <f t="shared" si="124"/>
        <v>245</v>
      </c>
      <c r="BB209" s="21">
        <v>60</v>
      </c>
      <c r="BC209" s="310">
        <v>90</v>
      </c>
      <c r="BD209" s="21">
        <v>100</v>
      </c>
      <c r="BE209" s="21">
        <v>100</v>
      </c>
      <c r="BF209" s="21">
        <f t="shared" ref="BF209:BF259" si="125">AT209-BB209-BC209-BD209</f>
        <v>100</v>
      </c>
      <c r="BG209" s="310" t="s">
        <v>4420</v>
      </c>
      <c r="BH209" s="310" t="s">
        <v>4465</v>
      </c>
      <c r="BI209" s="310" t="s">
        <v>6204</v>
      </c>
      <c r="BJ209" s="310">
        <v>4</v>
      </c>
      <c r="BK209" s="18">
        <v>6</v>
      </c>
      <c r="BL209" s="196" t="s">
        <v>5791</v>
      </c>
      <c r="BM209" s="197" t="s">
        <v>5791</v>
      </c>
      <c r="BN209" s="197" t="s">
        <v>5791</v>
      </c>
      <c r="BO209" s="197" t="s">
        <v>5791</v>
      </c>
      <c r="BP209" s="197" t="s">
        <v>5791</v>
      </c>
      <c r="BQ209" s="197" t="s">
        <v>5791</v>
      </c>
      <c r="BR209" s="197" t="s">
        <v>5791</v>
      </c>
      <c r="BS209" s="197" t="s">
        <v>5791</v>
      </c>
      <c r="BT209" s="196" t="s">
        <v>5791</v>
      </c>
      <c r="BU209" s="197" t="s">
        <v>5791</v>
      </c>
      <c r="BV209" s="197" t="s">
        <v>5791</v>
      </c>
      <c r="BW209" s="197" t="s">
        <v>5791</v>
      </c>
      <c r="BX209" s="197" t="s">
        <v>5791</v>
      </c>
      <c r="BY209" s="197" t="s">
        <v>5791</v>
      </c>
      <c r="BZ209" s="212" t="s">
        <v>5791</v>
      </c>
      <c r="CA209" s="197" t="s">
        <v>5791</v>
      </c>
      <c r="CB209" s="197" t="s">
        <v>5791</v>
      </c>
      <c r="CC209" s="197" t="s">
        <v>5791</v>
      </c>
      <c r="CD209" s="197" t="s">
        <v>5791</v>
      </c>
      <c r="CE209" s="197" t="s">
        <v>5791</v>
      </c>
      <c r="CF209" s="212" t="s">
        <v>5791</v>
      </c>
      <c r="CG209" s="301" t="s">
        <v>6319</v>
      </c>
      <c r="CH209" s="310">
        <v>275</v>
      </c>
      <c r="CI209" s="21">
        <v>318</v>
      </c>
      <c r="CJ209" s="310">
        <v>410</v>
      </c>
      <c r="CK209" s="21">
        <v>466</v>
      </c>
      <c r="CL209" s="139">
        <v>201000</v>
      </c>
      <c r="CM209" s="301" t="s">
        <v>4450</v>
      </c>
      <c r="CN209" s="310">
        <v>275</v>
      </c>
      <c r="CO209" s="46">
        <v>318</v>
      </c>
      <c r="CP209" s="59">
        <v>430</v>
      </c>
      <c r="CQ209" s="46">
        <v>466</v>
      </c>
      <c r="CR209" s="139">
        <v>201000</v>
      </c>
      <c r="CS209" s="301" t="s">
        <v>6319</v>
      </c>
      <c r="CT209" s="59">
        <v>275</v>
      </c>
      <c r="CU209" s="32">
        <v>360</v>
      </c>
      <c r="CV209" s="59">
        <v>410</v>
      </c>
      <c r="CW209" s="32">
        <v>530</v>
      </c>
      <c r="CX209" s="66">
        <v>200000</v>
      </c>
      <c r="CY209" s="201" t="s">
        <v>5791</v>
      </c>
      <c r="CZ209" s="202" t="s">
        <v>5791</v>
      </c>
      <c r="DA209" s="202" t="s">
        <v>5791</v>
      </c>
      <c r="DB209" s="203" t="s">
        <v>5791</v>
      </c>
      <c r="DC209" s="201" t="s">
        <v>5791</v>
      </c>
      <c r="DD209" s="202" t="s">
        <v>5791</v>
      </c>
      <c r="DE209" s="203" t="s">
        <v>5791</v>
      </c>
      <c r="DF209" s="274" t="s">
        <v>5791</v>
      </c>
      <c r="DG209" s="310">
        <v>8.8000000000000007</v>
      </c>
      <c r="DH209" s="310">
        <v>640</v>
      </c>
      <c r="DI209" s="32">
        <v>730</v>
      </c>
      <c r="DJ209" s="310">
        <v>800</v>
      </c>
      <c r="DK209" s="32">
        <v>940</v>
      </c>
      <c r="DL209" s="66">
        <v>200000</v>
      </c>
      <c r="DM209" s="40" t="s">
        <v>4764</v>
      </c>
      <c r="DN209" s="301" t="s">
        <v>4435</v>
      </c>
      <c r="DO209" s="306" t="s">
        <v>4565</v>
      </c>
    </row>
    <row r="210" spans="1:119">
      <c r="A210" s="301">
        <v>205</v>
      </c>
      <c r="B210" s="361"/>
      <c r="C210" s="361"/>
      <c r="D210" s="459"/>
      <c r="E210" s="374"/>
      <c r="F210" s="349"/>
      <c r="G210" s="369"/>
      <c r="H210" s="369"/>
      <c r="I210" s="369"/>
      <c r="J210" s="291" t="s">
        <v>4400</v>
      </c>
      <c r="K210" s="301" t="s">
        <v>4534</v>
      </c>
      <c r="L210" s="310" t="s">
        <v>6060</v>
      </c>
      <c r="M210" s="301" t="s">
        <v>4508</v>
      </c>
      <c r="N210" s="310" t="s">
        <v>4702</v>
      </c>
      <c r="O210" s="18" t="s">
        <v>4506</v>
      </c>
      <c r="P210" s="310" t="s">
        <v>4420</v>
      </c>
      <c r="Q210" s="310" t="s">
        <v>4420</v>
      </c>
      <c r="R210" s="310" t="s">
        <v>4420</v>
      </c>
      <c r="S210" s="310" t="s">
        <v>5791</v>
      </c>
      <c r="T210" s="59" t="s">
        <v>4420</v>
      </c>
      <c r="U210" s="59" t="s">
        <v>5791</v>
      </c>
      <c r="V210" s="59" t="s">
        <v>4420</v>
      </c>
      <c r="W210" s="59" t="s">
        <v>5791</v>
      </c>
      <c r="X210" s="310" t="s">
        <v>4420</v>
      </c>
      <c r="Y210" s="310" t="s">
        <v>5791</v>
      </c>
      <c r="Z210" s="310" t="s">
        <v>6049</v>
      </c>
      <c r="AA210" s="18">
        <v>6</v>
      </c>
      <c r="AB210" s="224">
        <v>0</v>
      </c>
      <c r="AC210" s="140">
        <v>80</v>
      </c>
      <c r="AD210" s="301" t="s">
        <v>4646</v>
      </c>
      <c r="AE210" s="21">
        <f>INDEX('[2]Cross-Section Database'!$C$2:$V$2928,MATCH(AD210,'[2]Cross-Section Database'!$B$2:$B$2928,0),3)</f>
        <v>200</v>
      </c>
      <c r="AF210" s="21">
        <f>INDEX('[2]Cross-Section Database'!$C$2:$V$2928,MATCH(AD210,'[2]Cross-Section Database'!$B$2:$B$2928,0),4)</f>
        <v>200</v>
      </c>
      <c r="AG210" s="21">
        <f>INDEX('[2]Cross-Section Database'!$C$2:$V$2928,MATCH(AD210,'[2]Cross-Section Database'!$B$2:$B$2928,0),6)</f>
        <v>8</v>
      </c>
      <c r="AH210" s="21">
        <f>INDEX('[2]Cross-Section Database'!$C$2:$V$2928,MATCH(AD210,'[2]Cross-Section Database'!$B$2:$B$2928,0),5)</f>
        <v>8</v>
      </c>
      <c r="AI210" s="310">
        <v>1700</v>
      </c>
      <c r="AJ210" s="301" t="s">
        <v>4222</v>
      </c>
      <c r="AK210" s="21">
        <f>INDEX('[2]Cross-Section Database'!$C$2:$V$2928,MATCH(AJ210,'[2]Cross-Section Database'!$B$2:$B$2928,0),3)</f>
        <v>351.4</v>
      </c>
      <c r="AL210" s="21">
        <f>INDEX('[2]Cross-Section Database'!$C$2:$V$2928,MATCH(AJ210,'[2]Cross-Section Database'!$B$2:$B$2928,0),4)</f>
        <v>171.1</v>
      </c>
      <c r="AM210" s="21">
        <f>INDEX('[2]Cross-Section Database'!$C$2:$V$2928,MATCH(AJ210,'[2]Cross-Section Database'!$B$2:$B$2928,0),6)</f>
        <v>9.6999999999999993</v>
      </c>
      <c r="AN210" s="21">
        <f>INDEX('[2]Cross-Section Database'!$C$2:$V$2928,MATCH(AJ210,'[2]Cross-Section Database'!$B$2:$B$2928,0),5)</f>
        <v>7</v>
      </c>
      <c r="AO210" s="21">
        <v>1015</v>
      </c>
      <c r="AP210" s="21">
        <f>INDEX('[2]Cross-Section Database'!$C$2:$V$3928,MATCH(AJ210,'[2]Cross-Section Database'!$B$2:$B$3928,0),11)</f>
        <v>120700000</v>
      </c>
      <c r="AQ210" s="24">
        <f>INDEX('[2]Cross-Section Database'!$C$2:$V$3928,MATCH(AJ210,'[2]Cross-Section Database'!$B$2:$B$3928,0),12)</f>
        <v>774600</v>
      </c>
      <c r="AR210" s="21">
        <v>10</v>
      </c>
      <c r="AS210" s="21">
        <v>160</v>
      </c>
      <c r="AT210" s="21">
        <v>350</v>
      </c>
      <c r="AU210" s="21">
        <v>0</v>
      </c>
      <c r="AV210" s="21">
        <v>0</v>
      </c>
      <c r="AW210" s="301" t="s">
        <v>5806</v>
      </c>
      <c r="AX210" s="310" t="s">
        <v>4705</v>
      </c>
      <c r="AY210" s="21">
        <f t="shared" si="123"/>
        <v>32</v>
      </c>
      <c r="AZ210" s="21">
        <v>20</v>
      </c>
      <c r="BA210" s="310">
        <f t="shared" si="124"/>
        <v>245</v>
      </c>
      <c r="BB210" s="21">
        <v>60</v>
      </c>
      <c r="BC210" s="310">
        <v>90</v>
      </c>
      <c r="BD210" s="21">
        <v>100</v>
      </c>
      <c r="BE210" s="21">
        <v>80</v>
      </c>
      <c r="BF210" s="21">
        <f t="shared" si="125"/>
        <v>100</v>
      </c>
      <c r="BG210" s="310" t="s">
        <v>4420</v>
      </c>
      <c r="BH210" s="310" t="s">
        <v>4465</v>
      </c>
      <c r="BI210" s="310" t="s">
        <v>6204</v>
      </c>
      <c r="BJ210" s="310">
        <v>4</v>
      </c>
      <c r="BK210" s="18">
        <v>6</v>
      </c>
      <c r="BL210" s="196" t="s">
        <v>5791</v>
      </c>
      <c r="BM210" s="197" t="s">
        <v>5791</v>
      </c>
      <c r="BN210" s="197" t="s">
        <v>5791</v>
      </c>
      <c r="BO210" s="197" t="s">
        <v>5791</v>
      </c>
      <c r="BP210" s="197" t="s">
        <v>5791</v>
      </c>
      <c r="BQ210" s="197" t="s">
        <v>5791</v>
      </c>
      <c r="BR210" s="197" t="s">
        <v>5791</v>
      </c>
      <c r="BS210" s="197" t="s">
        <v>5791</v>
      </c>
      <c r="BT210" s="196" t="s">
        <v>5791</v>
      </c>
      <c r="BU210" s="197" t="s">
        <v>5791</v>
      </c>
      <c r="BV210" s="197" t="s">
        <v>5791</v>
      </c>
      <c r="BW210" s="197" t="s">
        <v>5791</v>
      </c>
      <c r="BX210" s="197" t="s">
        <v>5791</v>
      </c>
      <c r="BY210" s="197" t="s">
        <v>5791</v>
      </c>
      <c r="BZ210" s="212" t="s">
        <v>5791</v>
      </c>
      <c r="CA210" s="197" t="s">
        <v>5791</v>
      </c>
      <c r="CB210" s="197" t="s">
        <v>5791</v>
      </c>
      <c r="CC210" s="197" t="s">
        <v>5791</v>
      </c>
      <c r="CD210" s="197" t="s">
        <v>5791</v>
      </c>
      <c r="CE210" s="197" t="s">
        <v>5791</v>
      </c>
      <c r="CF210" s="212" t="s">
        <v>5791</v>
      </c>
      <c r="CG210" s="301" t="s">
        <v>6319</v>
      </c>
      <c r="CH210" s="310">
        <v>275</v>
      </c>
      <c r="CI210" s="21">
        <v>318</v>
      </c>
      <c r="CJ210" s="310">
        <v>410</v>
      </c>
      <c r="CK210" s="21">
        <v>466</v>
      </c>
      <c r="CL210" s="139">
        <v>201000</v>
      </c>
      <c r="CM210" s="301" t="s">
        <v>4450</v>
      </c>
      <c r="CN210" s="310">
        <v>275</v>
      </c>
      <c r="CO210" s="46">
        <v>318</v>
      </c>
      <c r="CP210" s="59">
        <v>430</v>
      </c>
      <c r="CQ210" s="46">
        <v>466</v>
      </c>
      <c r="CR210" s="139">
        <v>201000</v>
      </c>
      <c r="CS210" s="301" t="s">
        <v>6319</v>
      </c>
      <c r="CT210" s="59">
        <v>275</v>
      </c>
      <c r="CU210" s="32">
        <v>360</v>
      </c>
      <c r="CV210" s="59">
        <v>410</v>
      </c>
      <c r="CW210" s="32">
        <v>530</v>
      </c>
      <c r="CX210" s="66">
        <v>200000</v>
      </c>
      <c r="CY210" s="201" t="s">
        <v>5791</v>
      </c>
      <c r="CZ210" s="202" t="s">
        <v>5791</v>
      </c>
      <c r="DA210" s="202" t="s">
        <v>5791</v>
      </c>
      <c r="DB210" s="203" t="s">
        <v>5791</v>
      </c>
      <c r="DC210" s="201" t="s">
        <v>5791</v>
      </c>
      <c r="DD210" s="202" t="s">
        <v>5791</v>
      </c>
      <c r="DE210" s="203" t="s">
        <v>5791</v>
      </c>
      <c r="DF210" s="274" t="s">
        <v>5791</v>
      </c>
      <c r="DG210" s="310">
        <v>8.8000000000000007</v>
      </c>
      <c r="DH210" s="310">
        <v>640</v>
      </c>
      <c r="DI210" s="32">
        <v>730</v>
      </c>
      <c r="DJ210" s="310">
        <v>800</v>
      </c>
      <c r="DK210" s="32">
        <v>940</v>
      </c>
      <c r="DL210" s="66">
        <v>200000</v>
      </c>
      <c r="DM210" s="40" t="s">
        <v>4764</v>
      </c>
      <c r="DN210" s="301" t="s">
        <v>4435</v>
      </c>
      <c r="DO210" s="306" t="s">
        <v>4565</v>
      </c>
    </row>
    <row r="211" spans="1:119">
      <c r="A211" s="301">
        <v>206</v>
      </c>
      <c r="B211" s="361"/>
      <c r="C211" s="361"/>
      <c r="D211" s="459"/>
      <c r="E211" s="374"/>
      <c r="F211" s="349"/>
      <c r="G211" s="369"/>
      <c r="H211" s="369"/>
      <c r="I211" s="369"/>
      <c r="J211" s="291" t="s">
        <v>4401</v>
      </c>
      <c r="K211" s="301" t="s">
        <v>4534</v>
      </c>
      <c r="L211" s="310" t="s">
        <v>6060</v>
      </c>
      <c r="M211" s="301" t="s">
        <v>4508</v>
      </c>
      <c r="N211" s="310" t="s">
        <v>4702</v>
      </c>
      <c r="O211" s="18" t="s">
        <v>4506</v>
      </c>
      <c r="P211" s="310" t="s">
        <v>4420</v>
      </c>
      <c r="Q211" s="310" t="s">
        <v>4420</v>
      </c>
      <c r="R211" s="310" t="s">
        <v>4420</v>
      </c>
      <c r="S211" s="310" t="s">
        <v>5791</v>
      </c>
      <c r="T211" s="59" t="s">
        <v>4420</v>
      </c>
      <c r="U211" s="59" t="s">
        <v>5791</v>
      </c>
      <c r="V211" s="59" t="s">
        <v>4420</v>
      </c>
      <c r="W211" s="59" t="s">
        <v>5791</v>
      </c>
      <c r="X211" s="310" t="s">
        <v>4420</v>
      </c>
      <c r="Y211" s="310" t="s">
        <v>5791</v>
      </c>
      <c r="Z211" s="310" t="s">
        <v>6049</v>
      </c>
      <c r="AA211" s="18">
        <v>6</v>
      </c>
      <c r="AB211" s="224">
        <v>0</v>
      </c>
      <c r="AC211" s="140">
        <v>80</v>
      </c>
      <c r="AD211" s="301" t="s">
        <v>4646</v>
      </c>
      <c r="AE211" s="21">
        <f>INDEX('[2]Cross-Section Database'!$C$2:$V$2928,MATCH(AD211,'[2]Cross-Section Database'!$B$2:$B$2928,0),3)</f>
        <v>200</v>
      </c>
      <c r="AF211" s="21">
        <f>INDEX('[2]Cross-Section Database'!$C$2:$V$2928,MATCH(AD211,'[2]Cross-Section Database'!$B$2:$B$2928,0),4)</f>
        <v>200</v>
      </c>
      <c r="AG211" s="21">
        <f>INDEX('[2]Cross-Section Database'!$C$2:$V$2928,MATCH(AD211,'[2]Cross-Section Database'!$B$2:$B$2928,0),6)</f>
        <v>8</v>
      </c>
      <c r="AH211" s="21">
        <f>INDEX('[2]Cross-Section Database'!$C$2:$V$2928,MATCH(AD211,'[2]Cross-Section Database'!$B$2:$B$2928,0),5)</f>
        <v>8</v>
      </c>
      <c r="AI211" s="310">
        <v>1700</v>
      </c>
      <c r="AJ211" s="301" t="s">
        <v>4222</v>
      </c>
      <c r="AK211" s="21">
        <f>INDEX('[2]Cross-Section Database'!$C$2:$V$2928,MATCH(AJ211,'[2]Cross-Section Database'!$B$2:$B$2928,0),3)</f>
        <v>351.4</v>
      </c>
      <c r="AL211" s="21">
        <f>INDEX('[2]Cross-Section Database'!$C$2:$V$2928,MATCH(AJ211,'[2]Cross-Section Database'!$B$2:$B$2928,0),4)</f>
        <v>171.1</v>
      </c>
      <c r="AM211" s="21">
        <f>INDEX('[2]Cross-Section Database'!$C$2:$V$2928,MATCH(AJ211,'[2]Cross-Section Database'!$B$2:$B$2928,0),6)</f>
        <v>9.6999999999999993</v>
      </c>
      <c r="AN211" s="21">
        <f>INDEX('[2]Cross-Section Database'!$C$2:$V$2928,MATCH(AJ211,'[2]Cross-Section Database'!$B$2:$B$2928,0),5)</f>
        <v>7</v>
      </c>
      <c r="AO211" s="21">
        <v>1008</v>
      </c>
      <c r="AP211" s="21">
        <f>INDEX('[2]Cross-Section Database'!$C$2:$V$3928,MATCH(AJ211,'[2]Cross-Section Database'!$B$2:$B$3928,0),11)</f>
        <v>120700000</v>
      </c>
      <c r="AQ211" s="24">
        <f>INDEX('[2]Cross-Section Database'!$C$2:$V$3928,MATCH(AJ211,'[2]Cross-Section Database'!$B$2:$B$3928,0),12)</f>
        <v>774600</v>
      </c>
      <c r="AR211" s="21">
        <v>10</v>
      </c>
      <c r="AS211" s="21">
        <v>180</v>
      </c>
      <c r="AT211" s="21">
        <v>350</v>
      </c>
      <c r="AU211" s="21">
        <v>0</v>
      </c>
      <c r="AV211" s="21">
        <v>0</v>
      </c>
      <c r="AW211" s="301" t="s">
        <v>5806</v>
      </c>
      <c r="AX211" s="310" t="s">
        <v>4705</v>
      </c>
      <c r="AY211" s="21">
        <f t="shared" si="123"/>
        <v>32</v>
      </c>
      <c r="AZ211" s="21">
        <v>20</v>
      </c>
      <c r="BA211" s="310">
        <f t="shared" si="124"/>
        <v>245</v>
      </c>
      <c r="BB211" s="21">
        <v>60</v>
      </c>
      <c r="BC211" s="310">
        <v>90</v>
      </c>
      <c r="BD211" s="21">
        <v>100</v>
      </c>
      <c r="BE211" s="21">
        <v>120</v>
      </c>
      <c r="BF211" s="21">
        <f t="shared" si="125"/>
        <v>100</v>
      </c>
      <c r="BG211" s="310" t="s">
        <v>4420</v>
      </c>
      <c r="BH211" s="310" t="s">
        <v>4465</v>
      </c>
      <c r="BI211" s="310" t="s">
        <v>6204</v>
      </c>
      <c r="BJ211" s="310">
        <v>4</v>
      </c>
      <c r="BK211" s="18">
        <v>6</v>
      </c>
      <c r="BL211" s="196" t="s">
        <v>5791</v>
      </c>
      <c r="BM211" s="197" t="s">
        <v>5791</v>
      </c>
      <c r="BN211" s="197" t="s">
        <v>5791</v>
      </c>
      <c r="BO211" s="197" t="s">
        <v>5791</v>
      </c>
      <c r="BP211" s="197" t="s">
        <v>5791</v>
      </c>
      <c r="BQ211" s="197" t="s">
        <v>5791</v>
      </c>
      <c r="BR211" s="197" t="s">
        <v>5791</v>
      </c>
      <c r="BS211" s="197" t="s">
        <v>5791</v>
      </c>
      <c r="BT211" s="196" t="s">
        <v>5791</v>
      </c>
      <c r="BU211" s="197" t="s">
        <v>5791</v>
      </c>
      <c r="BV211" s="197" t="s">
        <v>5791</v>
      </c>
      <c r="BW211" s="197" t="s">
        <v>5791</v>
      </c>
      <c r="BX211" s="197" t="s">
        <v>5791</v>
      </c>
      <c r="BY211" s="197" t="s">
        <v>5791</v>
      </c>
      <c r="BZ211" s="212" t="s">
        <v>5791</v>
      </c>
      <c r="CA211" s="197" t="s">
        <v>5791</v>
      </c>
      <c r="CB211" s="197" t="s">
        <v>5791</v>
      </c>
      <c r="CC211" s="197" t="s">
        <v>5791</v>
      </c>
      <c r="CD211" s="197" t="s">
        <v>5791</v>
      </c>
      <c r="CE211" s="197" t="s">
        <v>5791</v>
      </c>
      <c r="CF211" s="212" t="s">
        <v>5791</v>
      </c>
      <c r="CG211" s="301" t="s">
        <v>6319</v>
      </c>
      <c r="CH211" s="310">
        <v>275</v>
      </c>
      <c r="CI211" s="21">
        <v>318</v>
      </c>
      <c r="CJ211" s="310">
        <v>410</v>
      </c>
      <c r="CK211" s="21">
        <v>466</v>
      </c>
      <c r="CL211" s="139">
        <v>201000</v>
      </c>
      <c r="CM211" s="301" t="s">
        <v>4450</v>
      </c>
      <c r="CN211" s="310">
        <v>275</v>
      </c>
      <c r="CO211" s="46">
        <v>318</v>
      </c>
      <c r="CP211" s="59">
        <v>430</v>
      </c>
      <c r="CQ211" s="46">
        <v>466</v>
      </c>
      <c r="CR211" s="139">
        <v>201000</v>
      </c>
      <c r="CS211" s="301" t="s">
        <v>6319</v>
      </c>
      <c r="CT211" s="59">
        <v>275</v>
      </c>
      <c r="CU211" s="32">
        <v>360</v>
      </c>
      <c r="CV211" s="59">
        <v>410</v>
      </c>
      <c r="CW211" s="32">
        <v>530</v>
      </c>
      <c r="CX211" s="66">
        <v>200000</v>
      </c>
      <c r="CY211" s="201" t="s">
        <v>5791</v>
      </c>
      <c r="CZ211" s="202" t="s">
        <v>5791</v>
      </c>
      <c r="DA211" s="202" t="s">
        <v>5791</v>
      </c>
      <c r="DB211" s="203" t="s">
        <v>5791</v>
      </c>
      <c r="DC211" s="201" t="s">
        <v>5791</v>
      </c>
      <c r="DD211" s="202" t="s">
        <v>5791</v>
      </c>
      <c r="DE211" s="203" t="s">
        <v>5791</v>
      </c>
      <c r="DF211" s="274" t="s">
        <v>5791</v>
      </c>
      <c r="DG211" s="310">
        <v>8.8000000000000007</v>
      </c>
      <c r="DH211" s="310">
        <v>640</v>
      </c>
      <c r="DI211" s="32">
        <v>730</v>
      </c>
      <c r="DJ211" s="310">
        <v>800</v>
      </c>
      <c r="DK211" s="32">
        <v>940</v>
      </c>
      <c r="DL211" s="66">
        <v>200000</v>
      </c>
      <c r="DM211" s="40" t="s">
        <v>5840</v>
      </c>
      <c r="DN211" s="301" t="s">
        <v>4435</v>
      </c>
      <c r="DO211" s="306" t="s">
        <v>4565</v>
      </c>
    </row>
    <row r="212" spans="1:119">
      <c r="A212" s="301">
        <v>207</v>
      </c>
      <c r="B212" s="361"/>
      <c r="C212" s="361"/>
      <c r="D212" s="459"/>
      <c r="E212" s="374"/>
      <c r="F212" s="349"/>
      <c r="G212" s="369"/>
      <c r="H212" s="369"/>
      <c r="I212" s="369"/>
      <c r="J212" s="291" t="s">
        <v>4402</v>
      </c>
      <c r="K212" s="301" t="s">
        <v>4534</v>
      </c>
      <c r="L212" s="310" t="s">
        <v>6060</v>
      </c>
      <c r="M212" s="301" t="s">
        <v>4508</v>
      </c>
      <c r="N212" s="310" t="s">
        <v>4702</v>
      </c>
      <c r="O212" s="18" t="s">
        <v>4506</v>
      </c>
      <c r="P212" s="310" t="s">
        <v>4420</v>
      </c>
      <c r="Q212" s="310" t="s">
        <v>4420</v>
      </c>
      <c r="R212" s="310" t="s">
        <v>4420</v>
      </c>
      <c r="S212" s="310" t="s">
        <v>5791</v>
      </c>
      <c r="T212" s="59" t="s">
        <v>4420</v>
      </c>
      <c r="U212" s="59" t="s">
        <v>5791</v>
      </c>
      <c r="V212" s="59" t="s">
        <v>4420</v>
      </c>
      <c r="W212" s="59" t="s">
        <v>5791</v>
      </c>
      <c r="X212" s="310" t="s">
        <v>4420</v>
      </c>
      <c r="Y212" s="310" t="s">
        <v>5791</v>
      </c>
      <c r="Z212" s="310" t="s">
        <v>6049</v>
      </c>
      <c r="AA212" s="18">
        <v>6</v>
      </c>
      <c r="AB212" s="224">
        <v>0</v>
      </c>
      <c r="AC212" s="140">
        <v>80</v>
      </c>
      <c r="AD212" s="301" t="s">
        <v>4728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6.3</v>
      </c>
      <c r="AH212" s="21">
        <f>INDEX('[2]Cross-Section Database'!$C$2:$V$2928,MATCH(AD212,'[2]Cross-Section Database'!$B$2:$B$2928,0),5)</f>
        <v>6.3</v>
      </c>
      <c r="AI212" s="310">
        <v>1700</v>
      </c>
      <c r="AJ212" s="301" t="s">
        <v>4222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1009</v>
      </c>
      <c r="AP212" s="21">
        <f>INDEX('[2]Cross-Section Database'!$C$2:$V$3928,MATCH(AJ212,'[2]Cross-Section Database'!$B$2:$B$3928,0),11)</f>
        <v>120700000</v>
      </c>
      <c r="AQ212" s="18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1" t="s">
        <v>5806</v>
      </c>
      <c r="AX212" s="310" t="s">
        <v>4705</v>
      </c>
      <c r="AY212" s="21">
        <f t="shared" si="123"/>
        <v>32</v>
      </c>
      <c r="AZ212" s="21">
        <v>20</v>
      </c>
      <c r="BA212" s="310">
        <f t="shared" si="124"/>
        <v>245</v>
      </c>
      <c r="BB212" s="21">
        <v>60</v>
      </c>
      <c r="BC212" s="310">
        <v>90</v>
      </c>
      <c r="BD212" s="21">
        <v>100</v>
      </c>
      <c r="BE212" s="21">
        <v>100</v>
      </c>
      <c r="BF212" s="21">
        <f t="shared" si="125"/>
        <v>100</v>
      </c>
      <c r="BG212" s="310" t="s">
        <v>4420</v>
      </c>
      <c r="BH212" s="310" t="s">
        <v>4465</v>
      </c>
      <c r="BI212" s="310" t="s">
        <v>6204</v>
      </c>
      <c r="BJ212" s="310">
        <v>4</v>
      </c>
      <c r="BK212" s="18">
        <v>6</v>
      </c>
      <c r="BL212" s="196" t="s">
        <v>5791</v>
      </c>
      <c r="BM212" s="197" t="s">
        <v>5791</v>
      </c>
      <c r="BN212" s="197" t="s">
        <v>5791</v>
      </c>
      <c r="BO212" s="197" t="s">
        <v>5791</v>
      </c>
      <c r="BP212" s="197" t="s">
        <v>5791</v>
      </c>
      <c r="BQ212" s="197" t="s">
        <v>5791</v>
      </c>
      <c r="BR212" s="197" t="s">
        <v>5791</v>
      </c>
      <c r="BS212" s="197" t="s">
        <v>5791</v>
      </c>
      <c r="BT212" s="196" t="s">
        <v>5791</v>
      </c>
      <c r="BU212" s="197" t="s">
        <v>5791</v>
      </c>
      <c r="BV212" s="197" t="s">
        <v>5791</v>
      </c>
      <c r="BW212" s="197" t="s">
        <v>5791</v>
      </c>
      <c r="BX212" s="197" t="s">
        <v>5791</v>
      </c>
      <c r="BY212" s="197" t="s">
        <v>5791</v>
      </c>
      <c r="BZ212" s="212" t="s">
        <v>5791</v>
      </c>
      <c r="CA212" s="197" t="s">
        <v>5791</v>
      </c>
      <c r="CB212" s="197" t="s">
        <v>5791</v>
      </c>
      <c r="CC212" s="197" t="s">
        <v>5791</v>
      </c>
      <c r="CD212" s="197" t="s">
        <v>5791</v>
      </c>
      <c r="CE212" s="197" t="s">
        <v>5791</v>
      </c>
      <c r="CF212" s="212" t="s">
        <v>5791</v>
      </c>
      <c r="CG212" s="301" t="s">
        <v>6319</v>
      </c>
      <c r="CH212" s="310">
        <v>275</v>
      </c>
      <c r="CI212" s="21">
        <v>336</v>
      </c>
      <c r="CJ212" s="310">
        <v>410</v>
      </c>
      <c r="CK212" s="21">
        <v>479</v>
      </c>
      <c r="CL212" s="139">
        <v>205000</v>
      </c>
      <c r="CM212" s="301" t="s">
        <v>4450</v>
      </c>
      <c r="CN212" s="310">
        <v>275</v>
      </c>
      <c r="CO212" s="46">
        <v>336</v>
      </c>
      <c r="CP212" s="59">
        <v>430</v>
      </c>
      <c r="CQ212" s="46">
        <v>479</v>
      </c>
      <c r="CR212" s="139">
        <v>205000</v>
      </c>
      <c r="CS212" s="301" t="s">
        <v>6319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5791</v>
      </c>
      <c r="CZ212" s="202" t="s">
        <v>5791</v>
      </c>
      <c r="DA212" s="202" t="s">
        <v>5791</v>
      </c>
      <c r="DB212" s="203" t="s">
        <v>5791</v>
      </c>
      <c r="DC212" s="201" t="s">
        <v>5791</v>
      </c>
      <c r="DD212" s="202" t="s">
        <v>5791</v>
      </c>
      <c r="DE212" s="203" t="s">
        <v>5791</v>
      </c>
      <c r="DF212" s="274" t="s">
        <v>5791</v>
      </c>
      <c r="DG212" s="310">
        <v>8.8000000000000007</v>
      </c>
      <c r="DH212" s="310">
        <v>640</v>
      </c>
      <c r="DI212" s="32">
        <v>730</v>
      </c>
      <c r="DJ212" s="310">
        <v>800</v>
      </c>
      <c r="DK212" s="32">
        <v>940</v>
      </c>
      <c r="DL212" s="66">
        <v>200000</v>
      </c>
      <c r="DM212" s="40" t="s">
        <v>4764</v>
      </c>
      <c r="DN212" s="301" t="s">
        <v>4435</v>
      </c>
      <c r="DO212" s="306" t="s">
        <v>4565</v>
      </c>
    </row>
    <row r="213" spans="1:119">
      <c r="A213" s="301">
        <v>208</v>
      </c>
      <c r="B213" s="361"/>
      <c r="C213" s="361"/>
      <c r="D213" s="459"/>
      <c r="E213" s="374"/>
      <c r="F213" s="349"/>
      <c r="G213" s="369"/>
      <c r="H213" s="369"/>
      <c r="I213" s="369"/>
      <c r="J213" s="291" t="s">
        <v>4403</v>
      </c>
      <c r="K213" s="301" t="s">
        <v>4534</v>
      </c>
      <c r="L213" s="310" t="s">
        <v>6060</v>
      </c>
      <c r="M213" s="301" t="s">
        <v>4508</v>
      </c>
      <c r="N213" s="310" t="s">
        <v>4702</v>
      </c>
      <c r="O213" s="18" t="s">
        <v>4506</v>
      </c>
      <c r="P213" s="310" t="s">
        <v>4420</v>
      </c>
      <c r="Q213" s="310" t="s">
        <v>4420</v>
      </c>
      <c r="R213" s="310" t="s">
        <v>4420</v>
      </c>
      <c r="S213" s="310" t="s">
        <v>5791</v>
      </c>
      <c r="T213" s="59" t="s">
        <v>4420</v>
      </c>
      <c r="U213" s="59" t="s">
        <v>5791</v>
      </c>
      <c r="V213" s="59" t="s">
        <v>4420</v>
      </c>
      <c r="W213" s="59" t="s">
        <v>5791</v>
      </c>
      <c r="X213" s="310" t="s">
        <v>4420</v>
      </c>
      <c r="Y213" s="310" t="s">
        <v>5791</v>
      </c>
      <c r="Z213" s="310" t="s">
        <v>6049</v>
      </c>
      <c r="AA213" s="18">
        <v>6</v>
      </c>
      <c r="AB213" s="224">
        <v>0</v>
      </c>
      <c r="AC213" s="140">
        <v>80</v>
      </c>
      <c r="AD213" s="301" t="s">
        <v>4729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12.5</v>
      </c>
      <c r="AH213" s="21">
        <f>INDEX('[2]Cross-Section Database'!$C$2:$V$2928,MATCH(AD213,'[2]Cross-Section Database'!$B$2:$B$2928,0),5)</f>
        <v>12.5</v>
      </c>
      <c r="AI213" s="310">
        <v>1700</v>
      </c>
      <c r="AJ213" s="301" t="s">
        <v>4222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1323</v>
      </c>
      <c r="AP213" s="21">
        <f>INDEX('[2]Cross-Section Database'!$C$2:$V$3928,MATCH(AJ213,'[2]Cross-Section Database'!$B$2:$B$3928,0),11)</f>
        <v>120700000</v>
      </c>
      <c r="AQ213" s="18">
        <f>INDEX('[2]Cross-Section Database'!$C$2:$V$3928,MATCH(AJ213,'[2]Cross-Section Database'!$B$2:$B$3928,0),12)</f>
        <v>774600</v>
      </c>
      <c r="AR213" s="21">
        <v>15</v>
      </c>
      <c r="AS213" s="21">
        <v>160</v>
      </c>
      <c r="AT213" s="21">
        <v>350</v>
      </c>
      <c r="AU213" s="21">
        <v>0</v>
      </c>
      <c r="AV213" s="21">
        <v>0</v>
      </c>
      <c r="AW213" s="301" t="s">
        <v>5806</v>
      </c>
      <c r="AX213" s="310" t="s">
        <v>4705</v>
      </c>
      <c r="AY213" s="21">
        <f t="shared" si="123"/>
        <v>32</v>
      </c>
      <c r="AZ213" s="21">
        <v>20</v>
      </c>
      <c r="BA213" s="310">
        <f t="shared" si="124"/>
        <v>245</v>
      </c>
      <c r="BB213" s="21">
        <v>60</v>
      </c>
      <c r="BC213" s="310">
        <v>90</v>
      </c>
      <c r="BD213" s="21">
        <v>100</v>
      </c>
      <c r="BE213" s="21">
        <v>100</v>
      </c>
      <c r="BF213" s="21">
        <f t="shared" si="125"/>
        <v>100</v>
      </c>
      <c r="BG213" s="310" t="s">
        <v>4420</v>
      </c>
      <c r="BH213" s="310" t="s">
        <v>4465</v>
      </c>
      <c r="BI213" s="310" t="s">
        <v>6204</v>
      </c>
      <c r="BJ213" s="310">
        <v>4</v>
      </c>
      <c r="BK213" s="18">
        <v>6</v>
      </c>
      <c r="BL213" s="196" t="s">
        <v>5791</v>
      </c>
      <c r="BM213" s="197" t="s">
        <v>5791</v>
      </c>
      <c r="BN213" s="197" t="s">
        <v>5791</v>
      </c>
      <c r="BO213" s="197" t="s">
        <v>5791</v>
      </c>
      <c r="BP213" s="197" t="s">
        <v>5791</v>
      </c>
      <c r="BQ213" s="197" t="s">
        <v>5791</v>
      </c>
      <c r="BR213" s="197" t="s">
        <v>5791</v>
      </c>
      <c r="BS213" s="197" t="s">
        <v>5791</v>
      </c>
      <c r="BT213" s="196" t="s">
        <v>5791</v>
      </c>
      <c r="BU213" s="197" t="s">
        <v>5791</v>
      </c>
      <c r="BV213" s="197" t="s">
        <v>5791</v>
      </c>
      <c r="BW213" s="197" t="s">
        <v>5791</v>
      </c>
      <c r="BX213" s="197" t="s">
        <v>5791</v>
      </c>
      <c r="BY213" s="197" t="s">
        <v>5791</v>
      </c>
      <c r="BZ213" s="212" t="s">
        <v>5791</v>
      </c>
      <c r="CA213" s="197" t="s">
        <v>5791</v>
      </c>
      <c r="CB213" s="197" t="s">
        <v>5791</v>
      </c>
      <c r="CC213" s="197" t="s">
        <v>5791</v>
      </c>
      <c r="CD213" s="197" t="s">
        <v>5791</v>
      </c>
      <c r="CE213" s="197" t="s">
        <v>5791</v>
      </c>
      <c r="CF213" s="212" t="s">
        <v>5791</v>
      </c>
      <c r="CG213" s="301" t="s">
        <v>6319</v>
      </c>
      <c r="CH213" s="310">
        <v>275</v>
      </c>
      <c r="CI213" s="21">
        <v>307</v>
      </c>
      <c r="CJ213" s="310">
        <v>410</v>
      </c>
      <c r="CK213" s="21">
        <v>452</v>
      </c>
      <c r="CL213" s="139">
        <v>207000</v>
      </c>
      <c r="CM213" s="301" t="s">
        <v>4450</v>
      </c>
      <c r="CN213" s="310">
        <v>275</v>
      </c>
      <c r="CO213" s="46">
        <v>307</v>
      </c>
      <c r="CP213" s="59">
        <v>430</v>
      </c>
      <c r="CQ213" s="46">
        <v>452</v>
      </c>
      <c r="CR213" s="139">
        <v>207000</v>
      </c>
      <c r="CS213" s="301" t="s">
        <v>6319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5791</v>
      </c>
      <c r="CZ213" s="202" t="s">
        <v>5791</v>
      </c>
      <c r="DA213" s="202" t="s">
        <v>5791</v>
      </c>
      <c r="DB213" s="203" t="s">
        <v>5791</v>
      </c>
      <c r="DC213" s="201" t="s">
        <v>5791</v>
      </c>
      <c r="DD213" s="202" t="s">
        <v>5791</v>
      </c>
      <c r="DE213" s="203" t="s">
        <v>5791</v>
      </c>
      <c r="DF213" s="274" t="s">
        <v>5791</v>
      </c>
      <c r="DG213" s="310">
        <v>8.8000000000000007</v>
      </c>
      <c r="DH213" s="310">
        <v>640</v>
      </c>
      <c r="DI213" s="32">
        <v>730</v>
      </c>
      <c r="DJ213" s="310">
        <v>800</v>
      </c>
      <c r="DK213" s="32">
        <v>940</v>
      </c>
      <c r="DL213" s="66">
        <v>200000</v>
      </c>
      <c r="DM213" s="40" t="s">
        <v>5841</v>
      </c>
      <c r="DN213" s="301" t="s">
        <v>4435</v>
      </c>
      <c r="DO213" s="306" t="s">
        <v>4565</v>
      </c>
    </row>
    <row r="214" spans="1:119">
      <c r="A214" s="301">
        <v>209</v>
      </c>
      <c r="B214" s="361"/>
      <c r="C214" s="361"/>
      <c r="D214" s="459"/>
      <c r="E214" s="374"/>
      <c r="F214" s="349"/>
      <c r="G214" s="369"/>
      <c r="H214" s="369"/>
      <c r="I214" s="369"/>
      <c r="J214" s="291" t="s">
        <v>4405</v>
      </c>
      <c r="K214" s="301" t="s">
        <v>4534</v>
      </c>
      <c r="L214" s="310" t="s">
        <v>6060</v>
      </c>
      <c r="M214" s="301" t="s">
        <v>4508</v>
      </c>
      <c r="N214" s="310" t="s">
        <v>4702</v>
      </c>
      <c r="O214" s="18" t="s">
        <v>4506</v>
      </c>
      <c r="P214" s="310" t="s">
        <v>4420</v>
      </c>
      <c r="Q214" s="310" t="s">
        <v>4420</v>
      </c>
      <c r="R214" s="310" t="s">
        <v>4420</v>
      </c>
      <c r="S214" s="310" t="s">
        <v>5791</v>
      </c>
      <c r="T214" s="59" t="s">
        <v>4420</v>
      </c>
      <c r="U214" s="59" t="s">
        <v>5791</v>
      </c>
      <c r="V214" s="59" t="s">
        <v>4420</v>
      </c>
      <c r="W214" s="59" t="s">
        <v>5791</v>
      </c>
      <c r="X214" s="310" t="s">
        <v>4420</v>
      </c>
      <c r="Y214" s="310" t="s">
        <v>5791</v>
      </c>
      <c r="Z214" s="310" t="s">
        <v>6049</v>
      </c>
      <c r="AA214" s="18">
        <v>6</v>
      </c>
      <c r="AB214" s="224">
        <v>0</v>
      </c>
      <c r="AC214" s="140">
        <v>80</v>
      </c>
      <c r="AD214" s="301" t="s">
        <v>4646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0">
        <v>1700</v>
      </c>
      <c r="AJ214" s="301" t="s">
        <v>4208</v>
      </c>
      <c r="AK214" s="21">
        <f>INDEX('[2]Cross-Section Database'!$C$2:$V$2928,MATCH(AJ214,'[2]Cross-Section Database'!$B$2:$B$2928,0),3)</f>
        <v>251.4</v>
      </c>
      <c r="AL214" s="21">
        <f>INDEX('[2]Cross-Section Database'!$C$2:$V$2928,MATCH(AJ214,'[2]Cross-Section Database'!$B$2:$B$2928,0),4)</f>
        <v>146.1</v>
      </c>
      <c r="AM214" s="21">
        <f>INDEX('[2]Cross-Section Database'!$C$2:$V$2928,MATCH(AJ214,'[2]Cross-Section Database'!$B$2:$B$2928,0),6)</f>
        <v>8.6</v>
      </c>
      <c r="AN214" s="21">
        <f>INDEX('[2]Cross-Section Database'!$C$2:$V$2928,MATCH(AJ214,'[2]Cross-Section Database'!$B$2:$B$2928,0),5)</f>
        <v>6</v>
      </c>
      <c r="AO214" s="21">
        <v>1008</v>
      </c>
      <c r="AP214" s="21">
        <f>INDEX('[2]Cross-Section Database'!$C$2:$V$3928,MATCH(AJ214,'[2]Cross-Section Database'!$B$2:$B$3928,0),11)</f>
        <v>44130000</v>
      </c>
      <c r="AQ214" s="18">
        <f>INDEX('[2]Cross-Section Database'!$C$2:$V$3928,MATCH(AJ214,'[2]Cross-Section Database'!$B$2:$B$3928,0),12)</f>
        <v>393100</v>
      </c>
      <c r="AR214" s="21">
        <v>10</v>
      </c>
      <c r="AS214" s="21">
        <v>160</v>
      </c>
      <c r="AT214" s="21">
        <v>250</v>
      </c>
      <c r="AU214" s="21">
        <v>0</v>
      </c>
      <c r="AV214" s="21">
        <v>0</v>
      </c>
      <c r="AW214" s="301" t="s">
        <v>5806</v>
      </c>
      <c r="AX214" s="310" t="s">
        <v>4705</v>
      </c>
      <c r="AY214" s="21">
        <f t="shared" si="123"/>
        <v>32</v>
      </c>
      <c r="AZ214" s="21">
        <v>20</v>
      </c>
      <c r="BA214" s="310">
        <f t="shared" si="124"/>
        <v>245</v>
      </c>
      <c r="BB214" s="21">
        <v>60</v>
      </c>
      <c r="BC214" s="310">
        <v>90</v>
      </c>
      <c r="BD214" s="21">
        <v>0</v>
      </c>
      <c r="BE214" s="21">
        <v>100</v>
      </c>
      <c r="BF214" s="21">
        <f t="shared" si="125"/>
        <v>100</v>
      </c>
      <c r="BG214" s="310" t="s">
        <v>4470</v>
      </c>
      <c r="BH214" s="310" t="s">
        <v>6204</v>
      </c>
      <c r="BI214" s="310" t="s">
        <v>6204</v>
      </c>
      <c r="BJ214" s="310">
        <v>2</v>
      </c>
      <c r="BK214" s="18">
        <v>4</v>
      </c>
      <c r="BL214" s="196" t="s">
        <v>5791</v>
      </c>
      <c r="BM214" s="197" t="s">
        <v>5791</v>
      </c>
      <c r="BN214" s="197" t="s">
        <v>5791</v>
      </c>
      <c r="BO214" s="197" t="s">
        <v>5791</v>
      </c>
      <c r="BP214" s="197" t="s">
        <v>5791</v>
      </c>
      <c r="BQ214" s="197" t="s">
        <v>5791</v>
      </c>
      <c r="BR214" s="197" t="s">
        <v>5791</v>
      </c>
      <c r="BS214" s="197" t="s">
        <v>5791</v>
      </c>
      <c r="BT214" s="196" t="s">
        <v>5791</v>
      </c>
      <c r="BU214" s="197" t="s">
        <v>5791</v>
      </c>
      <c r="BV214" s="197" t="s">
        <v>5791</v>
      </c>
      <c r="BW214" s="197" t="s">
        <v>5791</v>
      </c>
      <c r="BX214" s="197" t="s">
        <v>5791</v>
      </c>
      <c r="BY214" s="197" t="s">
        <v>5791</v>
      </c>
      <c r="BZ214" s="212" t="s">
        <v>5791</v>
      </c>
      <c r="CA214" s="197" t="s">
        <v>5791</v>
      </c>
      <c r="CB214" s="197" t="s">
        <v>5791</v>
      </c>
      <c r="CC214" s="197" t="s">
        <v>5791</v>
      </c>
      <c r="CD214" s="197" t="s">
        <v>5791</v>
      </c>
      <c r="CE214" s="197" t="s">
        <v>5791</v>
      </c>
      <c r="CF214" s="212" t="s">
        <v>5791</v>
      </c>
      <c r="CG214" s="301" t="s">
        <v>6319</v>
      </c>
      <c r="CH214" s="310">
        <v>275</v>
      </c>
      <c r="CI214" s="21">
        <v>318</v>
      </c>
      <c r="CJ214" s="310">
        <v>410</v>
      </c>
      <c r="CK214" s="21">
        <v>466</v>
      </c>
      <c r="CL214" s="139">
        <v>201000</v>
      </c>
      <c r="CM214" s="301" t="s">
        <v>4450</v>
      </c>
      <c r="CN214" s="310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1" t="s">
        <v>6319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5791</v>
      </c>
      <c r="CZ214" s="202" t="s">
        <v>5791</v>
      </c>
      <c r="DA214" s="202" t="s">
        <v>5791</v>
      </c>
      <c r="DB214" s="203" t="s">
        <v>5791</v>
      </c>
      <c r="DC214" s="201" t="s">
        <v>5791</v>
      </c>
      <c r="DD214" s="202" t="s">
        <v>5791</v>
      </c>
      <c r="DE214" s="203" t="s">
        <v>5791</v>
      </c>
      <c r="DF214" s="274" t="s">
        <v>5791</v>
      </c>
      <c r="DG214" s="310">
        <v>8.8000000000000007</v>
      </c>
      <c r="DH214" s="310">
        <v>640</v>
      </c>
      <c r="DI214" s="32">
        <v>730</v>
      </c>
      <c r="DJ214" s="310">
        <v>800</v>
      </c>
      <c r="DK214" s="32">
        <v>940</v>
      </c>
      <c r="DL214" s="66">
        <v>200000</v>
      </c>
      <c r="DM214" s="40" t="s">
        <v>5841</v>
      </c>
      <c r="DN214" s="301" t="s">
        <v>4435</v>
      </c>
      <c r="DO214" s="306" t="s">
        <v>4565</v>
      </c>
    </row>
    <row r="215" spans="1:119">
      <c r="A215" s="301">
        <v>210</v>
      </c>
      <c r="B215" s="361"/>
      <c r="C215" s="361"/>
      <c r="D215" s="459"/>
      <c r="E215" s="374"/>
      <c r="F215" s="349"/>
      <c r="G215" s="369"/>
      <c r="H215" s="369"/>
      <c r="I215" s="369"/>
      <c r="J215" s="291" t="s">
        <v>4406</v>
      </c>
      <c r="K215" s="301" t="s">
        <v>6320</v>
      </c>
      <c r="L215" s="310" t="s">
        <v>5791</v>
      </c>
      <c r="M215" s="301" t="s">
        <v>4508</v>
      </c>
      <c r="N215" s="310" t="s">
        <v>4702</v>
      </c>
      <c r="O215" s="18" t="s">
        <v>4506</v>
      </c>
      <c r="P215" s="310" t="s">
        <v>4420</v>
      </c>
      <c r="Q215" s="310" t="s">
        <v>4420</v>
      </c>
      <c r="R215" s="310" t="s">
        <v>4420</v>
      </c>
      <c r="S215" s="310" t="s">
        <v>5791</v>
      </c>
      <c r="T215" s="59" t="s">
        <v>4420</v>
      </c>
      <c r="U215" s="59" t="s">
        <v>5791</v>
      </c>
      <c r="V215" s="59" t="s">
        <v>4420</v>
      </c>
      <c r="W215" s="59" t="s">
        <v>5791</v>
      </c>
      <c r="X215" s="310" t="s">
        <v>4420</v>
      </c>
      <c r="Y215" s="310" t="s">
        <v>5791</v>
      </c>
      <c r="Z215" s="310" t="s">
        <v>6049</v>
      </c>
      <c r="AA215" s="18">
        <v>6</v>
      </c>
      <c r="AB215" s="224">
        <v>0</v>
      </c>
      <c r="AC215" s="140">
        <v>506</v>
      </c>
      <c r="AD215" s="301" t="s">
        <v>4728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0">
        <v>1700</v>
      </c>
      <c r="AJ215" s="301" t="s">
        <v>4222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1318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1" t="s">
        <v>5806</v>
      </c>
      <c r="AX215" s="310" t="s">
        <v>4705</v>
      </c>
      <c r="AY215" s="21">
        <f t="shared" si="123"/>
        <v>32</v>
      </c>
      <c r="AZ215" s="21">
        <v>20</v>
      </c>
      <c r="BA215" s="310">
        <f t="shared" si="124"/>
        <v>245</v>
      </c>
      <c r="BB215" s="21">
        <v>60</v>
      </c>
      <c r="BC215" s="310">
        <v>90</v>
      </c>
      <c r="BD215" s="21">
        <v>100</v>
      </c>
      <c r="BE215" s="21">
        <v>100</v>
      </c>
      <c r="BF215" s="21">
        <f t="shared" si="125"/>
        <v>100</v>
      </c>
      <c r="BG215" s="310" t="s">
        <v>4420</v>
      </c>
      <c r="BH215" s="310" t="s">
        <v>4465</v>
      </c>
      <c r="BI215" s="310" t="s">
        <v>6204</v>
      </c>
      <c r="BJ215" s="310">
        <v>4</v>
      </c>
      <c r="BK215" s="18">
        <v>6</v>
      </c>
      <c r="BL215" s="196" t="s">
        <v>5791</v>
      </c>
      <c r="BM215" s="197" t="s">
        <v>5791</v>
      </c>
      <c r="BN215" s="197" t="s">
        <v>5791</v>
      </c>
      <c r="BO215" s="197" t="s">
        <v>5791</v>
      </c>
      <c r="BP215" s="197" t="s">
        <v>5791</v>
      </c>
      <c r="BQ215" s="197" t="s">
        <v>5791</v>
      </c>
      <c r="BR215" s="197" t="s">
        <v>5791</v>
      </c>
      <c r="BS215" s="197" t="s">
        <v>5791</v>
      </c>
      <c r="BT215" s="196" t="s">
        <v>5791</v>
      </c>
      <c r="BU215" s="197" t="s">
        <v>5791</v>
      </c>
      <c r="BV215" s="197" t="s">
        <v>5791</v>
      </c>
      <c r="BW215" s="197" t="s">
        <v>5791</v>
      </c>
      <c r="BX215" s="197" t="s">
        <v>5791</v>
      </c>
      <c r="BY215" s="197" t="s">
        <v>5791</v>
      </c>
      <c r="BZ215" s="212" t="s">
        <v>5791</v>
      </c>
      <c r="CA215" s="197" t="s">
        <v>5791</v>
      </c>
      <c r="CB215" s="197" t="s">
        <v>5791</v>
      </c>
      <c r="CC215" s="197" t="s">
        <v>5791</v>
      </c>
      <c r="CD215" s="197" t="s">
        <v>5791</v>
      </c>
      <c r="CE215" s="197" t="s">
        <v>5791</v>
      </c>
      <c r="CF215" s="212" t="s">
        <v>5791</v>
      </c>
      <c r="CG215" s="301" t="s">
        <v>6319</v>
      </c>
      <c r="CH215" s="310">
        <v>275</v>
      </c>
      <c r="CI215" s="21">
        <v>336</v>
      </c>
      <c r="CJ215" s="310">
        <v>410</v>
      </c>
      <c r="CK215" s="21">
        <v>479</v>
      </c>
      <c r="CL215" s="139">
        <v>205000</v>
      </c>
      <c r="CM215" s="301" t="s">
        <v>4450</v>
      </c>
      <c r="CN215" s="310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1" t="s">
        <v>6319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5791</v>
      </c>
      <c r="CZ215" s="202" t="s">
        <v>5791</v>
      </c>
      <c r="DA215" s="202" t="s">
        <v>5791</v>
      </c>
      <c r="DB215" s="203" t="s">
        <v>5791</v>
      </c>
      <c r="DC215" s="201" t="s">
        <v>5791</v>
      </c>
      <c r="DD215" s="202" t="s">
        <v>5791</v>
      </c>
      <c r="DE215" s="203" t="s">
        <v>5791</v>
      </c>
      <c r="DF215" s="274" t="s">
        <v>5791</v>
      </c>
      <c r="DG215" s="310">
        <v>8.8000000000000007</v>
      </c>
      <c r="DH215" s="310">
        <v>640</v>
      </c>
      <c r="DI215" s="32">
        <v>730</v>
      </c>
      <c r="DJ215" s="310">
        <v>800</v>
      </c>
      <c r="DK215" s="32">
        <v>940</v>
      </c>
      <c r="DL215" s="66">
        <v>200000</v>
      </c>
      <c r="DM215" s="40" t="s">
        <v>4764</v>
      </c>
      <c r="DN215" s="301" t="s">
        <v>4435</v>
      </c>
      <c r="DO215" s="306" t="s">
        <v>4565</v>
      </c>
    </row>
    <row r="216" spans="1:119">
      <c r="A216" s="301">
        <v>211</v>
      </c>
      <c r="B216" s="361"/>
      <c r="C216" s="361"/>
      <c r="D216" s="459"/>
      <c r="E216" s="374"/>
      <c r="F216" s="349"/>
      <c r="G216" s="369"/>
      <c r="H216" s="369"/>
      <c r="I216" s="369"/>
      <c r="J216" s="291" t="s">
        <v>4407</v>
      </c>
      <c r="K216" s="301" t="s">
        <v>6320</v>
      </c>
      <c r="L216" s="310" t="s">
        <v>5791</v>
      </c>
      <c r="M216" s="301" t="s">
        <v>4508</v>
      </c>
      <c r="N216" s="310" t="s">
        <v>4702</v>
      </c>
      <c r="O216" s="18" t="s">
        <v>4506</v>
      </c>
      <c r="P216" s="310" t="s">
        <v>4420</v>
      </c>
      <c r="Q216" s="310" t="s">
        <v>4420</v>
      </c>
      <c r="R216" s="310" t="s">
        <v>4420</v>
      </c>
      <c r="S216" s="310" t="s">
        <v>5791</v>
      </c>
      <c r="T216" s="59" t="s">
        <v>4420</v>
      </c>
      <c r="U216" s="59" t="s">
        <v>5791</v>
      </c>
      <c r="V216" s="59" t="s">
        <v>4420</v>
      </c>
      <c r="W216" s="59" t="s">
        <v>5791</v>
      </c>
      <c r="X216" s="310" t="s">
        <v>4420</v>
      </c>
      <c r="Y216" s="310" t="s">
        <v>5791</v>
      </c>
      <c r="Z216" s="310" t="s">
        <v>6049</v>
      </c>
      <c r="AA216" s="18">
        <v>6</v>
      </c>
      <c r="AB216" s="224">
        <v>0</v>
      </c>
      <c r="AC216" s="140">
        <v>906</v>
      </c>
      <c r="AD216" s="301" t="s">
        <v>4728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6.3</v>
      </c>
      <c r="AH216" s="21">
        <f>INDEX('[2]Cross-Section Database'!$C$2:$V$2928,MATCH(AD216,'[2]Cross-Section Database'!$B$2:$B$2928,0),5)</f>
        <v>6.3</v>
      </c>
      <c r="AI216" s="310">
        <v>1700</v>
      </c>
      <c r="AJ216" s="301" t="s">
        <v>4222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1318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10</v>
      </c>
      <c r="AS216" s="21">
        <v>160</v>
      </c>
      <c r="AT216" s="21">
        <v>350</v>
      </c>
      <c r="AU216" s="21">
        <v>0</v>
      </c>
      <c r="AV216" s="21">
        <v>0</v>
      </c>
      <c r="AW216" s="301" t="s">
        <v>5806</v>
      </c>
      <c r="AX216" s="310" t="s">
        <v>4705</v>
      </c>
      <c r="AY216" s="21">
        <f t="shared" si="123"/>
        <v>32</v>
      </c>
      <c r="AZ216" s="21">
        <v>20</v>
      </c>
      <c r="BA216" s="310">
        <f t="shared" si="124"/>
        <v>245</v>
      </c>
      <c r="BB216" s="21">
        <v>60</v>
      </c>
      <c r="BC216" s="310">
        <v>90</v>
      </c>
      <c r="BD216" s="21">
        <v>100</v>
      </c>
      <c r="BE216" s="21">
        <v>100</v>
      </c>
      <c r="BF216" s="21">
        <f t="shared" si="125"/>
        <v>100</v>
      </c>
      <c r="BG216" s="310" t="s">
        <v>4420</v>
      </c>
      <c r="BH216" s="310" t="s">
        <v>4465</v>
      </c>
      <c r="BI216" s="310" t="s">
        <v>6204</v>
      </c>
      <c r="BJ216" s="310">
        <v>4</v>
      </c>
      <c r="BK216" s="18">
        <v>6</v>
      </c>
      <c r="BL216" s="196" t="s">
        <v>5791</v>
      </c>
      <c r="BM216" s="197" t="s">
        <v>5791</v>
      </c>
      <c r="BN216" s="197" t="s">
        <v>5791</v>
      </c>
      <c r="BO216" s="197" t="s">
        <v>5791</v>
      </c>
      <c r="BP216" s="197" t="s">
        <v>5791</v>
      </c>
      <c r="BQ216" s="197" t="s">
        <v>5791</v>
      </c>
      <c r="BR216" s="197" t="s">
        <v>5791</v>
      </c>
      <c r="BS216" s="197" t="s">
        <v>5791</v>
      </c>
      <c r="BT216" s="196" t="s">
        <v>5791</v>
      </c>
      <c r="BU216" s="197" t="s">
        <v>5791</v>
      </c>
      <c r="BV216" s="197" t="s">
        <v>5791</v>
      </c>
      <c r="BW216" s="197" t="s">
        <v>5791</v>
      </c>
      <c r="BX216" s="197" t="s">
        <v>5791</v>
      </c>
      <c r="BY216" s="197" t="s">
        <v>5791</v>
      </c>
      <c r="BZ216" s="212" t="s">
        <v>5791</v>
      </c>
      <c r="CA216" s="197" t="s">
        <v>5791</v>
      </c>
      <c r="CB216" s="197" t="s">
        <v>5791</v>
      </c>
      <c r="CC216" s="197" t="s">
        <v>5791</v>
      </c>
      <c r="CD216" s="197" t="s">
        <v>5791</v>
      </c>
      <c r="CE216" s="197" t="s">
        <v>5791</v>
      </c>
      <c r="CF216" s="212" t="s">
        <v>5791</v>
      </c>
      <c r="CG216" s="301" t="s">
        <v>6319</v>
      </c>
      <c r="CH216" s="310">
        <v>275</v>
      </c>
      <c r="CI216" s="21">
        <v>336</v>
      </c>
      <c r="CJ216" s="310">
        <v>410</v>
      </c>
      <c r="CK216" s="21">
        <v>479</v>
      </c>
      <c r="CL216" s="139">
        <v>205000</v>
      </c>
      <c r="CM216" s="301" t="s">
        <v>4450</v>
      </c>
      <c r="CN216" s="310">
        <v>275</v>
      </c>
      <c r="CO216" s="46">
        <v>336</v>
      </c>
      <c r="CP216" s="59">
        <v>430</v>
      </c>
      <c r="CQ216" s="46">
        <v>479</v>
      </c>
      <c r="CR216" s="139">
        <v>205000</v>
      </c>
      <c r="CS216" s="301" t="s">
        <v>6319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5791</v>
      </c>
      <c r="CZ216" s="202" t="s">
        <v>5791</v>
      </c>
      <c r="DA216" s="202" t="s">
        <v>5791</v>
      </c>
      <c r="DB216" s="203" t="s">
        <v>5791</v>
      </c>
      <c r="DC216" s="201" t="s">
        <v>5791</v>
      </c>
      <c r="DD216" s="202" t="s">
        <v>5791</v>
      </c>
      <c r="DE216" s="203" t="s">
        <v>5791</v>
      </c>
      <c r="DF216" s="274" t="s">
        <v>5791</v>
      </c>
      <c r="DG216" s="310">
        <v>8.8000000000000007</v>
      </c>
      <c r="DH216" s="310">
        <v>640</v>
      </c>
      <c r="DI216" s="32">
        <v>730</v>
      </c>
      <c r="DJ216" s="310">
        <v>800</v>
      </c>
      <c r="DK216" s="32">
        <v>940</v>
      </c>
      <c r="DL216" s="66">
        <v>200000</v>
      </c>
      <c r="DM216" s="40" t="s">
        <v>4764</v>
      </c>
      <c r="DN216" s="301" t="s">
        <v>4435</v>
      </c>
      <c r="DO216" s="306" t="s">
        <v>4565</v>
      </c>
    </row>
    <row r="217" spans="1:119">
      <c r="A217" s="301">
        <v>212</v>
      </c>
      <c r="B217" s="361"/>
      <c r="C217" s="361"/>
      <c r="D217" s="459"/>
      <c r="E217" s="374"/>
      <c r="F217" s="349"/>
      <c r="G217" s="369"/>
      <c r="H217" s="369"/>
      <c r="I217" s="369"/>
      <c r="J217" s="291" t="s">
        <v>4408</v>
      </c>
      <c r="K217" s="301" t="s">
        <v>6320</v>
      </c>
      <c r="L217" s="310" t="s">
        <v>5791</v>
      </c>
      <c r="M217" s="301" t="s">
        <v>4508</v>
      </c>
      <c r="N217" s="310" t="s">
        <v>4702</v>
      </c>
      <c r="O217" s="18" t="s">
        <v>4506</v>
      </c>
      <c r="P217" s="310" t="s">
        <v>4420</v>
      </c>
      <c r="Q217" s="310" t="s">
        <v>4420</v>
      </c>
      <c r="R217" s="310" t="s">
        <v>4420</v>
      </c>
      <c r="S217" s="310" t="s">
        <v>5791</v>
      </c>
      <c r="T217" s="59" t="s">
        <v>4420</v>
      </c>
      <c r="U217" s="59" t="s">
        <v>5791</v>
      </c>
      <c r="V217" s="59" t="s">
        <v>4420</v>
      </c>
      <c r="W217" s="59" t="s">
        <v>5791</v>
      </c>
      <c r="X217" s="310" t="s">
        <v>4420</v>
      </c>
      <c r="Y217" s="310" t="s">
        <v>5791</v>
      </c>
      <c r="Z217" s="310" t="s">
        <v>6049</v>
      </c>
      <c r="AA217" s="18">
        <v>6</v>
      </c>
      <c r="AB217" s="224">
        <v>0</v>
      </c>
      <c r="AC217" s="140">
        <v>702</v>
      </c>
      <c r="AD217" s="301" t="s">
        <v>4728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6.3</v>
      </c>
      <c r="AH217" s="21">
        <f>INDEX('[2]Cross-Section Database'!$C$2:$V$2928,MATCH(AD217,'[2]Cross-Section Database'!$B$2:$B$2928,0),5)</f>
        <v>6.3</v>
      </c>
      <c r="AI217" s="310">
        <v>1700</v>
      </c>
      <c r="AJ217" s="301" t="s">
        <v>4222</v>
      </c>
      <c r="AK217" s="21">
        <f>INDEX('[2]Cross-Section Database'!$C$2:$V$2928,MATCH(AJ217,'[2]Cross-Section Database'!$B$2:$B$2928,0),3)</f>
        <v>351.4</v>
      </c>
      <c r="AL217" s="21">
        <f>INDEX('[2]Cross-Section Database'!$C$2:$V$2928,MATCH(AJ217,'[2]Cross-Section Database'!$B$2:$B$2928,0),4)</f>
        <v>171.1</v>
      </c>
      <c r="AM217" s="21">
        <f>INDEX('[2]Cross-Section Database'!$C$2:$V$2928,MATCH(AJ217,'[2]Cross-Section Database'!$B$2:$B$2928,0),6)</f>
        <v>9.6999999999999993</v>
      </c>
      <c r="AN217" s="21">
        <f>INDEX('[2]Cross-Section Database'!$C$2:$V$2928,MATCH(AJ217,'[2]Cross-Section Database'!$B$2:$B$2928,0),5)</f>
        <v>7</v>
      </c>
      <c r="AO217" s="21">
        <v>1314</v>
      </c>
      <c r="AP217" s="21">
        <f>INDEX('[2]Cross-Section Database'!$C$2:$V$3928,MATCH(AJ217,'[2]Cross-Section Database'!$B$2:$B$3928,0),11)</f>
        <v>120700000</v>
      </c>
      <c r="AQ217" s="18">
        <f>INDEX('[2]Cross-Section Database'!$C$2:$V$3928,MATCH(AJ217,'[2]Cross-Section Database'!$B$2:$B$3928,0),12)</f>
        <v>774600</v>
      </c>
      <c r="AR217" s="21">
        <v>10</v>
      </c>
      <c r="AS217" s="21">
        <v>160</v>
      </c>
      <c r="AT217" s="21">
        <v>350</v>
      </c>
      <c r="AU217" s="21">
        <v>0</v>
      </c>
      <c r="AV217" s="21">
        <v>0</v>
      </c>
      <c r="AW217" s="301" t="s">
        <v>5806</v>
      </c>
      <c r="AX217" s="310" t="s">
        <v>4705</v>
      </c>
      <c r="AY217" s="21">
        <f t="shared" si="123"/>
        <v>32</v>
      </c>
      <c r="AZ217" s="21">
        <v>20</v>
      </c>
      <c r="BA217" s="310">
        <f t="shared" si="124"/>
        <v>245</v>
      </c>
      <c r="BB217" s="21">
        <v>60</v>
      </c>
      <c r="BC217" s="310">
        <v>90</v>
      </c>
      <c r="BD217" s="21">
        <v>100</v>
      </c>
      <c r="BE217" s="21">
        <v>100</v>
      </c>
      <c r="BF217" s="21">
        <f t="shared" si="125"/>
        <v>100</v>
      </c>
      <c r="BG217" s="310" t="s">
        <v>4420</v>
      </c>
      <c r="BH217" s="310" t="s">
        <v>4465</v>
      </c>
      <c r="BI217" s="310" t="s">
        <v>6204</v>
      </c>
      <c r="BJ217" s="310">
        <v>4</v>
      </c>
      <c r="BK217" s="18">
        <v>6</v>
      </c>
      <c r="BL217" s="196" t="s">
        <v>5791</v>
      </c>
      <c r="BM217" s="197" t="s">
        <v>5791</v>
      </c>
      <c r="BN217" s="197" t="s">
        <v>5791</v>
      </c>
      <c r="BO217" s="197" t="s">
        <v>5791</v>
      </c>
      <c r="BP217" s="197" t="s">
        <v>5791</v>
      </c>
      <c r="BQ217" s="197" t="s">
        <v>5791</v>
      </c>
      <c r="BR217" s="197" t="s">
        <v>5791</v>
      </c>
      <c r="BS217" s="197" t="s">
        <v>5791</v>
      </c>
      <c r="BT217" s="196" t="s">
        <v>5791</v>
      </c>
      <c r="BU217" s="197" t="s">
        <v>5791</v>
      </c>
      <c r="BV217" s="197" t="s">
        <v>5791</v>
      </c>
      <c r="BW217" s="197" t="s">
        <v>5791</v>
      </c>
      <c r="BX217" s="197" t="s">
        <v>5791</v>
      </c>
      <c r="BY217" s="197" t="s">
        <v>5791</v>
      </c>
      <c r="BZ217" s="212" t="s">
        <v>5791</v>
      </c>
      <c r="CA217" s="197" t="s">
        <v>5791</v>
      </c>
      <c r="CB217" s="197" t="s">
        <v>5791</v>
      </c>
      <c r="CC217" s="197" t="s">
        <v>5791</v>
      </c>
      <c r="CD217" s="197" t="s">
        <v>5791</v>
      </c>
      <c r="CE217" s="197" t="s">
        <v>5791</v>
      </c>
      <c r="CF217" s="212" t="s">
        <v>5791</v>
      </c>
      <c r="CG217" s="301" t="s">
        <v>6319</v>
      </c>
      <c r="CH217" s="310">
        <v>275</v>
      </c>
      <c r="CI217" s="21">
        <v>336</v>
      </c>
      <c r="CJ217" s="310">
        <v>410</v>
      </c>
      <c r="CK217" s="21">
        <v>479</v>
      </c>
      <c r="CL217" s="139">
        <v>205000</v>
      </c>
      <c r="CM217" s="301" t="s">
        <v>4450</v>
      </c>
      <c r="CN217" s="310">
        <v>275</v>
      </c>
      <c r="CO217" s="46">
        <v>336</v>
      </c>
      <c r="CP217" s="59">
        <v>430</v>
      </c>
      <c r="CQ217" s="46">
        <v>479</v>
      </c>
      <c r="CR217" s="139">
        <v>205000</v>
      </c>
      <c r="CS217" s="301" t="s">
        <v>6319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5791</v>
      </c>
      <c r="CZ217" s="202" t="s">
        <v>5791</v>
      </c>
      <c r="DA217" s="202" t="s">
        <v>5791</v>
      </c>
      <c r="DB217" s="203" t="s">
        <v>5791</v>
      </c>
      <c r="DC217" s="201" t="s">
        <v>5791</v>
      </c>
      <c r="DD217" s="202" t="s">
        <v>5791</v>
      </c>
      <c r="DE217" s="203" t="s">
        <v>5791</v>
      </c>
      <c r="DF217" s="274" t="s">
        <v>5791</v>
      </c>
      <c r="DG217" s="310">
        <v>8.8000000000000007</v>
      </c>
      <c r="DH217" s="310">
        <v>640</v>
      </c>
      <c r="DI217" s="32">
        <v>730</v>
      </c>
      <c r="DJ217" s="310">
        <v>800</v>
      </c>
      <c r="DK217" s="32">
        <v>940</v>
      </c>
      <c r="DL217" s="66">
        <v>200000</v>
      </c>
      <c r="DM217" s="40" t="s">
        <v>4764</v>
      </c>
      <c r="DN217" s="301" t="s">
        <v>4435</v>
      </c>
      <c r="DO217" s="306" t="s">
        <v>4565</v>
      </c>
    </row>
    <row r="218" spans="1:119">
      <c r="A218" s="301">
        <v>213</v>
      </c>
      <c r="B218" s="361"/>
      <c r="C218" s="361"/>
      <c r="D218" s="459"/>
      <c r="E218" s="374"/>
      <c r="F218" s="349"/>
      <c r="G218" s="369"/>
      <c r="H218" s="369"/>
      <c r="I218" s="369"/>
      <c r="J218" s="291" t="s">
        <v>4413</v>
      </c>
      <c r="K218" s="301" t="s">
        <v>4534</v>
      </c>
      <c r="L218" s="310" t="s">
        <v>6057</v>
      </c>
      <c r="M218" s="301" t="s">
        <v>4508</v>
      </c>
      <c r="N218" s="310" t="s">
        <v>4702</v>
      </c>
      <c r="O218" s="18" t="s">
        <v>4506</v>
      </c>
      <c r="P218" s="310" t="s">
        <v>4420</v>
      </c>
      <c r="Q218" s="310" t="s">
        <v>4420</v>
      </c>
      <c r="R218" s="310" t="s">
        <v>4420</v>
      </c>
      <c r="S218" s="310" t="s">
        <v>5791</v>
      </c>
      <c r="T218" s="59" t="s">
        <v>4420</v>
      </c>
      <c r="U218" s="59" t="s">
        <v>5791</v>
      </c>
      <c r="V218" s="59" t="s">
        <v>4420</v>
      </c>
      <c r="W218" s="59" t="s">
        <v>5791</v>
      </c>
      <c r="X218" s="310" t="s">
        <v>4420</v>
      </c>
      <c r="Y218" s="310" t="s">
        <v>5791</v>
      </c>
      <c r="Z218" s="310" t="s">
        <v>6049</v>
      </c>
      <c r="AA218" s="18">
        <v>6</v>
      </c>
      <c r="AB218" s="224">
        <v>0</v>
      </c>
      <c r="AC218" s="140">
        <v>80</v>
      </c>
      <c r="AD218" s="301" t="s">
        <v>4646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8</v>
      </c>
      <c r="AH218" s="21">
        <f>INDEX('[2]Cross-Section Database'!$C$2:$V$2928,MATCH(AD218,'[2]Cross-Section Database'!$B$2:$B$2928,0),5)</f>
        <v>8</v>
      </c>
      <c r="AI218" s="310">
        <v>1700</v>
      </c>
      <c r="AJ218" s="301" t="s">
        <v>4222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1005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15</v>
      </c>
      <c r="AS218" s="21">
        <v>160</v>
      </c>
      <c r="AT218" s="21">
        <v>350</v>
      </c>
      <c r="AU218" s="21">
        <v>0</v>
      </c>
      <c r="AV218" s="21">
        <v>0</v>
      </c>
      <c r="AW218" s="301" t="s">
        <v>5806</v>
      </c>
      <c r="AX218" s="310" t="s">
        <v>4705</v>
      </c>
      <c r="AY218" s="21">
        <f t="shared" si="123"/>
        <v>32</v>
      </c>
      <c r="AZ218" s="21">
        <v>20</v>
      </c>
      <c r="BA218" s="310">
        <f t="shared" si="124"/>
        <v>245</v>
      </c>
      <c r="BB218" s="21">
        <v>60</v>
      </c>
      <c r="BC218" s="310">
        <v>90</v>
      </c>
      <c r="BD218" s="21">
        <v>100</v>
      </c>
      <c r="BE218" s="21">
        <v>100</v>
      </c>
      <c r="BF218" s="21">
        <f t="shared" si="125"/>
        <v>100</v>
      </c>
      <c r="BG218" s="310" t="s">
        <v>4420</v>
      </c>
      <c r="BH218" s="310" t="s">
        <v>4465</v>
      </c>
      <c r="BI218" s="310" t="s">
        <v>6204</v>
      </c>
      <c r="BJ218" s="310">
        <v>4</v>
      </c>
      <c r="BK218" s="18">
        <v>6</v>
      </c>
      <c r="BL218" s="196" t="s">
        <v>5791</v>
      </c>
      <c r="BM218" s="197" t="s">
        <v>5791</v>
      </c>
      <c r="BN218" s="197" t="s">
        <v>5791</v>
      </c>
      <c r="BO218" s="197" t="s">
        <v>5791</v>
      </c>
      <c r="BP218" s="197" t="s">
        <v>5791</v>
      </c>
      <c r="BQ218" s="197" t="s">
        <v>5791</v>
      </c>
      <c r="BR218" s="197" t="s">
        <v>5791</v>
      </c>
      <c r="BS218" s="197" t="s">
        <v>5791</v>
      </c>
      <c r="BT218" s="196" t="s">
        <v>5791</v>
      </c>
      <c r="BU218" s="197" t="s">
        <v>5791</v>
      </c>
      <c r="BV218" s="197" t="s">
        <v>5791</v>
      </c>
      <c r="BW218" s="197" t="s">
        <v>5791</v>
      </c>
      <c r="BX218" s="197" t="s">
        <v>5791</v>
      </c>
      <c r="BY218" s="197" t="s">
        <v>5791</v>
      </c>
      <c r="BZ218" s="212" t="s">
        <v>5791</v>
      </c>
      <c r="CA218" s="197" t="s">
        <v>5791</v>
      </c>
      <c r="CB218" s="197" t="s">
        <v>5791</v>
      </c>
      <c r="CC218" s="197" t="s">
        <v>5791</v>
      </c>
      <c r="CD218" s="197" t="s">
        <v>5791</v>
      </c>
      <c r="CE218" s="197" t="s">
        <v>5791</v>
      </c>
      <c r="CF218" s="212" t="s">
        <v>5791</v>
      </c>
      <c r="CG218" s="301" t="s">
        <v>6319</v>
      </c>
      <c r="CH218" s="310">
        <v>275</v>
      </c>
      <c r="CI218" s="21">
        <v>318</v>
      </c>
      <c r="CJ218" s="310">
        <v>410</v>
      </c>
      <c r="CK218" s="21">
        <v>466</v>
      </c>
      <c r="CL218" s="139">
        <v>201000</v>
      </c>
      <c r="CM218" s="301" t="s">
        <v>4450</v>
      </c>
      <c r="CN218" s="310">
        <v>275</v>
      </c>
      <c r="CO218" s="46">
        <v>318</v>
      </c>
      <c r="CP218" s="59">
        <v>430</v>
      </c>
      <c r="CQ218" s="46">
        <v>466</v>
      </c>
      <c r="CR218" s="139">
        <v>201000</v>
      </c>
      <c r="CS218" s="301" t="s">
        <v>6319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5791</v>
      </c>
      <c r="CZ218" s="202" t="s">
        <v>5791</v>
      </c>
      <c r="DA218" s="202" t="s">
        <v>5791</v>
      </c>
      <c r="DB218" s="203" t="s">
        <v>5791</v>
      </c>
      <c r="DC218" s="201" t="s">
        <v>5791</v>
      </c>
      <c r="DD218" s="202" t="s">
        <v>5791</v>
      </c>
      <c r="DE218" s="203" t="s">
        <v>5791</v>
      </c>
      <c r="DF218" s="274" t="s">
        <v>5791</v>
      </c>
      <c r="DG218" s="310">
        <v>8.8000000000000007</v>
      </c>
      <c r="DH218" s="310">
        <v>640</v>
      </c>
      <c r="DI218" s="32">
        <v>730</v>
      </c>
      <c r="DJ218" s="310">
        <v>800</v>
      </c>
      <c r="DK218" s="32">
        <v>940</v>
      </c>
      <c r="DL218" s="66">
        <v>200000</v>
      </c>
      <c r="DM218" s="40" t="s">
        <v>4764</v>
      </c>
      <c r="DN218" s="301" t="s">
        <v>4435</v>
      </c>
      <c r="DO218" s="306" t="s">
        <v>4565</v>
      </c>
    </row>
    <row r="219" spans="1:119">
      <c r="A219" s="301">
        <v>214</v>
      </c>
      <c r="B219" s="361"/>
      <c r="C219" s="361"/>
      <c r="D219" s="459"/>
      <c r="E219" s="374"/>
      <c r="F219" s="349"/>
      <c r="G219" s="369"/>
      <c r="H219" s="369"/>
      <c r="I219" s="369"/>
      <c r="J219" s="291" t="s">
        <v>4480</v>
      </c>
      <c r="K219" s="301" t="s">
        <v>6320</v>
      </c>
      <c r="L219" s="310" t="s">
        <v>5791</v>
      </c>
      <c r="M219" s="301" t="s">
        <v>4508</v>
      </c>
      <c r="N219" s="310" t="s">
        <v>4702</v>
      </c>
      <c r="O219" s="18" t="s">
        <v>4506</v>
      </c>
      <c r="P219" s="310" t="s">
        <v>4420</v>
      </c>
      <c r="Q219" s="310" t="s">
        <v>4420</v>
      </c>
      <c r="R219" s="310" t="s">
        <v>4420</v>
      </c>
      <c r="S219" s="310" t="s">
        <v>5791</v>
      </c>
      <c r="T219" s="59" t="s">
        <v>4420</v>
      </c>
      <c r="U219" s="59" t="s">
        <v>5791</v>
      </c>
      <c r="V219" s="59" t="s">
        <v>4420</v>
      </c>
      <c r="W219" s="59" t="s">
        <v>5791</v>
      </c>
      <c r="X219" s="310" t="s">
        <v>4420</v>
      </c>
      <c r="Y219" s="310" t="s">
        <v>5791</v>
      </c>
      <c r="Z219" s="310" t="s">
        <v>6049</v>
      </c>
      <c r="AA219" s="18">
        <v>12</v>
      </c>
      <c r="AB219" s="224">
        <v>0</v>
      </c>
      <c r="AC219" s="140">
        <v>0</v>
      </c>
      <c r="AD219" s="301" t="s">
        <v>6332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10</v>
      </c>
      <c r="AH219" s="21">
        <f>INDEX('[2]Cross-Section Database'!$C$2:$V$2928,MATCH(AD219,'[2]Cross-Section Database'!$B$2:$B$2928,0),5)</f>
        <v>10</v>
      </c>
      <c r="AI219" s="310">
        <v>1505</v>
      </c>
      <c r="AJ219" s="301" t="s">
        <v>6333</v>
      </c>
      <c r="AK219" s="21">
        <f>INDEX('[2]Cross-Section Database'!$C$2:$V$2928,MATCH(AJ219,'[2]Cross-Section Database'!$B$2:$B$2928,0),3)</f>
        <v>363.4</v>
      </c>
      <c r="AL219" s="21">
        <f>INDEX('[2]Cross-Section Database'!$C$2:$V$2928,MATCH(AJ219,'[2]Cross-Section Database'!$B$2:$B$2928,0),4)</f>
        <v>173.2</v>
      </c>
      <c r="AM219" s="21">
        <f>INDEX('[2]Cross-Section Database'!$C$2:$V$2928,MATCH(AJ219,'[2]Cross-Section Database'!$B$2:$B$2928,0),6)</f>
        <v>15.7</v>
      </c>
      <c r="AN219" s="21">
        <f>INDEX('[2]Cross-Section Database'!$C$2:$V$2928,MATCH(AJ219,'[2]Cross-Section Database'!$B$2:$B$2928,0),5)</f>
        <v>9.1</v>
      </c>
      <c r="AO219" s="21">
        <v>2552</v>
      </c>
      <c r="AP219" s="21">
        <f>INDEX('[2]Cross-Section Database'!$C$2:$V$3928,MATCH(AJ219,'[2]Cross-Section Database'!$B$2:$B$3928,0),11)</f>
        <v>194600000</v>
      </c>
      <c r="AQ219" s="18">
        <f>INDEX('[2]Cross-Section Database'!$C$2:$V$3928,MATCH(AJ219,'[2]Cross-Section Database'!$B$2:$B$3928,0),12)</f>
        <v>1211000</v>
      </c>
      <c r="AR219" s="21">
        <v>25</v>
      </c>
      <c r="AS219" s="21">
        <v>180</v>
      </c>
      <c r="AT219" s="21">
        <v>395</v>
      </c>
      <c r="AU219" s="21">
        <f t="shared" si="121"/>
        <v>15.800000000000011</v>
      </c>
      <c r="AV219" s="21">
        <f t="shared" si="122"/>
        <v>15.800000000000011</v>
      </c>
      <c r="AW219" s="301" t="s">
        <v>5793</v>
      </c>
      <c r="AX219" s="310" t="s">
        <v>4705</v>
      </c>
      <c r="AY219" s="21">
        <f t="shared" si="123"/>
        <v>32</v>
      </c>
      <c r="AZ219" s="21">
        <v>20</v>
      </c>
      <c r="BA219" s="310">
        <f t="shared" si="124"/>
        <v>245</v>
      </c>
      <c r="BB219" s="21">
        <v>75</v>
      </c>
      <c r="BC219" s="310">
        <v>120</v>
      </c>
      <c r="BD219" s="21">
        <v>100</v>
      </c>
      <c r="BE219" s="21">
        <v>120</v>
      </c>
      <c r="BF219" s="21">
        <f t="shared" si="125"/>
        <v>100</v>
      </c>
      <c r="BG219" s="310" t="s">
        <v>6317</v>
      </c>
      <c r="BH219" s="310" t="s">
        <v>4465</v>
      </c>
      <c r="BI219" s="310" t="s">
        <v>6204</v>
      </c>
      <c r="BJ219" s="310">
        <v>4</v>
      </c>
      <c r="BK219" s="18">
        <v>6</v>
      </c>
      <c r="BL219" s="196" t="s">
        <v>5791</v>
      </c>
      <c r="BM219" s="197" t="s">
        <v>5791</v>
      </c>
      <c r="BN219" s="197" t="s">
        <v>5791</v>
      </c>
      <c r="BO219" s="197" t="s">
        <v>5791</v>
      </c>
      <c r="BP219" s="197" t="s">
        <v>5791</v>
      </c>
      <c r="BQ219" s="197" t="s">
        <v>5791</v>
      </c>
      <c r="BR219" s="197" t="s">
        <v>5791</v>
      </c>
      <c r="BS219" s="197" t="s">
        <v>5791</v>
      </c>
      <c r="BT219" s="196" t="s">
        <v>5791</v>
      </c>
      <c r="BU219" s="197" t="s">
        <v>5791</v>
      </c>
      <c r="BV219" s="197" t="s">
        <v>5791</v>
      </c>
      <c r="BW219" s="197" t="s">
        <v>5791</v>
      </c>
      <c r="BX219" s="197" t="s">
        <v>5791</v>
      </c>
      <c r="BY219" s="197" t="s">
        <v>5791</v>
      </c>
      <c r="BZ219" s="212" t="s">
        <v>5791</v>
      </c>
      <c r="CA219" s="197" t="s">
        <v>5791</v>
      </c>
      <c r="CB219" s="197" t="s">
        <v>5791</v>
      </c>
      <c r="CC219" s="197" t="s">
        <v>5791</v>
      </c>
      <c r="CD219" s="197" t="s">
        <v>5791</v>
      </c>
      <c r="CE219" s="197" t="s">
        <v>5791</v>
      </c>
      <c r="CF219" s="212" t="s">
        <v>5791</v>
      </c>
      <c r="CG219" s="301" t="s">
        <v>6319</v>
      </c>
      <c r="CH219" s="310">
        <v>275</v>
      </c>
      <c r="CI219" s="21">
        <v>329</v>
      </c>
      <c r="CJ219" s="310">
        <v>430</v>
      </c>
      <c r="CK219" s="21">
        <v>477</v>
      </c>
      <c r="CL219" s="139">
        <v>211000</v>
      </c>
      <c r="CM219" s="301" t="s">
        <v>4450</v>
      </c>
      <c r="CN219" s="310">
        <v>275</v>
      </c>
      <c r="CO219" s="46">
        <v>329</v>
      </c>
      <c r="CP219" s="59">
        <v>430</v>
      </c>
      <c r="CQ219" s="46">
        <v>477</v>
      </c>
      <c r="CR219" s="139">
        <v>206000</v>
      </c>
      <c r="CS219" s="301" t="s">
        <v>6319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5791</v>
      </c>
      <c r="CZ219" s="202" t="s">
        <v>5791</v>
      </c>
      <c r="DA219" s="202" t="s">
        <v>5791</v>
      </c>
      <c r="DB219" s="203" t="s">
        <v>5791</v>
      </c>
      <c r="DC219" s="201" t="s">
        <v>5791</v>
      </c>
      <c r="DD219" s="202" t="s">
        <v>5791</v>
      </c>
      <c r="DE219" s="203" t="s">
        <v>5791</v>
      </c>
      <c r="DF219" s="274" t="s">
        <v>5791</v>
      </c>
      <c r="DG219" s="310">
        <v>8.8000000000000007</v>
      </c>
      <c r="DH219" s="310">
        <v>640</v>
      </c>
      <c r="DI219" s="32">
        <v>730</v>
      </c>
      <c r="DJ219" s="310">
        <v>800</v>
      </c>
      <c r="DK219" s="32">
        <v>940</v>
      </c>
      <c r="DL219" s="66">
        <v>200000</v>
      </c>
      <c r="DM219" s="40" t="s">
        <v>4758</v>
      </c>
      <c r="DN219" s="301" t="s">
        <v>4435</v>
      </c>
      <c r="DO219" s="306" t="s">
        <v>4565</v>
      </c>
    </row>
    <row r="220" spans="1:119">
      <c r="A220" s="301">
        <v>215</v>
      </c>
      <c r="B220" s="361"/>
      <c r="C220" s="361"/>
      <c r="D220" s="459"/>
      <c r="E220" s="374"/>
      <c r="F220" s="349"/>
      <c r="G220" s="369"/>
      <c r="H220" s="369"/>
      <c r="I220" s="369"/>
      <c r="J220" s="291" t="s">
        <v>4481</v>
      </c>
      <c r="K220" s="301" t="s">
        <v>4383</v>
      </c>
      <c r="L220" s="310" t="s">
        <v>5791</v>
      </c>
      <c r="M220" s="301" t="s">
        <v>4508</v>
      </c>
      <c r="N220" s="310" t="s">
        <v>4702</v>
      </c>
      <c r="O220" s="18" t="s">
        <v>4506</v>
      </c>
      <c r="P220" s="310" t="s">
        <v>4420</v>
      </c>
      <c r="Q220" s="310" t="s">
        <v>4420</v>
      </c>
      <c r="R220" s="310" t="s">
        <v>4420</v>
      </c>
      <c r="S220" s="310" t="s">
        <v>5791</v>
      </c>
      <c r="T220" s="59" t="s">
        <v>4420</v>
      </c>
      <c r="U220" s="59" t="s">
        <v>5791</v>
      </c>
      <c r="V220" s="59" t="s">
        <v>4420</v>
      </c>
      <c r="W220" s="59" t="s">
        <v>5791</v>
      </c>
      <c r="X220" s="310" t="s">
        <v>4420</v>
      </c>
      <c r="Y220" s="310" t="s">
        <v>5791</v>
      </c>
      <c r="Z220" s="310" t="s">
        <v>6049</v>
      </c>
      <c r="AA220" s="18">
        <v>12</v>
      </c>
      <c r="AB220" s="224">
        <v>0</v>
      </c>
      <c r="AC220" s="140">
        <v>0</v>
      </c>
      <c r="AD220" s="301" t="s">
        <v>4646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8</v>
      </c>
      <c r="AH220" s="21">
        <f>INDEX('[2]Cross-Section Database'!$C$2:$V$2928,MATCH(AD220,'[2]Cross-Section Database'!$B$2:$B$2928,0),5)</f>
        <v>8</v>
      </c>
      <c r="AI220" s="310">
        <v>1505</v>
      </c>
      <c r="AJ220" s="301" t="s">
        <v>6333</v>
      </c>
      <c r="AK220" s="21">
        <f>INDEX('[2]Cross-Section Database'!$C$2:$V$2928,MATCH(AJ220,'[2]Cross-Section Database'!$B$2:$B$2928,0),3)</f>
        <v>363.4</v>
      </c>
      <c r="AL220" s="21">
        <f>INDEX('[2]Cross-Section Database'!$C$2:$V$2928,MATCH(AJ220,'[2]Cross-Section Database'!$B$2:$B$2928,0),4)</f>
        <v>173.2</v>
      </c>
      <c r="AM220" s="21">
        <f>INDEX('[2]Cross-Section Database'!$C$2:$V$2928,MATCH(AJ220,'[2]Cross-Section Database'!$B$2:$B$2928,0),6)</f>
        <v>15.7</v>
      </c>
      <c r="AN220" s="21">
        <f>INDEX('[2]Cross-Section Database'!$C$2:$V$2928,MATCH(AJ220,'[2]Cross-Section Database'!$B$2:$B$2928,0),5)</f>
        <v>9.1</v>
      </c>
      <c r="AO220" s="21">
        <v>2553</v>
      </c>
      <c r="AP220" s="21">
        <f>INDEX('[2]Cross-Section Database'!$C$2:$V$3928,MATCH(AJ220,'[2]Cross-Section Database'!$B$2:$B$3928,0),11)</f>
        <v>194600000</v>
      </c>
      <c r="AQ220" s="18">
        <f>INDEX('[2]Cross-Section Database'!$C$2:$V$3928,MATCH(AJ220,'[2]Cross-Section Database'!$B$2:$B$3928,0),12)</f>
        <v>1211000</v>
      </c>
      <c r="AR220" s="21">
        <v>25</v>
      </c>
      <c r="AS220" s="21">
        <v>180</v>
      </c>
      <c r="AT220" s="21">
        <v>395</v>
      </c>
      <c r="AU220" s="21">
        <f t="shared" si="121"/>
        <v>15.800000000000011</v>
      </c>
      <c r="AV220" s="21">
        <f t="shared" si="122"/>
        <v>15.800000000000011</v>
      </c>
      <c r="AW220" s="301" t="s">
        <v>5793</v>
      </c>
      <c r="AX220" s="310" t="s">
        <v>4705</v>
      </c>
      <c r="AY220" s="21">
        <f t="shared" si="123"/>
        <v>32</v>
      </c>
      <c r="AZ220" s="21">
        <v>20</v>
      </c>
      <c r="BA220" s="310">
        <f t="shared" si="124"/>
        <v>245</v>
      </c>
      <c r="BB220" s="21">
        <v>75</v>
      </c>
      <c r="BC220" s="310">
        <v>120</v>
      </c>
      <c r="BD220" s="21">
        <v>100</v>
      </c>
      <c r="BE220" s="21">
        <v>120</v>
      </c>
      <c r="BF220" s="21">
        <f t="shared" si="125"/>
        <v>100</v>
      </c>
      <c r="BG220" s="310" t="s">
        <v>6317</v>
      </c>
      <c r="BH220" s="310" t="s">
        <v>4465</v>
      </c>
      <c r="BI220" s="310" t="s">
        <v>6204</v>
      </c>
      <c r="BJ220" s="310">
        <v>4</v>
      </c>
      <c r="BK220" s="18">
        <v>6</v>
      </c>
      <c r="BL220" s="196" t="s">
        <v>5791</v>
      </c>
      <c r="BM220" s="197" t="s">
        <v>5791</v>
      </c>
      <c r="BN220" s="197" t="s">
        <v>5791</v>
      </c>
      <c r="BO220" s="197" t="s">
        <v>5791</v>
      </c>
      <c r="BP220" s="197" t="s">
        <v>5791</v>
      </c>
      <c r="BQ220" s="197" t="s">
        <v>5791</v>
      </c>
      <c r="BR220" s="197" t="s">
        <v>5791</v>
      </c>
      <c r="BS220" s="197" t="s">
        <v>5791</v>
      </c>
      <c r="BT220" s="196" t="s">
        <v>5791</v>
      </c>
      <c r="BU220" s="197" t="s">
        <v>5791</v>
      </c>
      <c r="BV220" s="197" t="s">
        <v>5791</v>
      </c>
      <c r="BW220" s="197" t="s">
        <v>5791</v>
      </c>
      <c r="BX220" s="197" t="s">
        <v>5791</v>
      </c>
      <c r="BY220" s="197" t="s">
        <v>5791</v>
      </c>
      <c r="BZ220" s="212" t="s">
        <v>5791</v>
      </c>
      <c r="CA220" s="197" t="s">
        <v>5791</v>
      </c>
      <c r="CB220" s="197" t="s">
        <v>5791</v>
      </c>
      <c r="CC220" s="197" t="s">
        <v>5791</v>
      </c>
      <c r="CD220" s="197" t="s">
        <v>5791</v>
      </c>
      <c r="CE220" s="197" t="s">
        <v>5791</v>
      </c>
      <c r="CF220" s="212" t="s">
        <v>5791</v>
      </c>
      <c r="CG220" s="301" t="s">
        <v>6319</v>
      </c>
      <c r="CH220" s="310">
        <v>275</v>
      </c>
      <c r="CI220" s="21">
        <v>346</v>
      </c>
      <c r="CJ220" s="310">
        <v>430</v>
      </c>
      <c r="CK220" s="21">
        <v>489</v>
      </c>
      <c r="CL220" s="139">
        <v>206000</v>
      </c>
      <c r="CM220" s="301" t="s">
        <v>4450</v>
      </c>
      <c r="CN220" s="310">
        <v>275</v>
      </c>
      <c r="CO220" s="46">
        <v>346</v>
      </c>
      <c r="CP220" s="59">
        <v>430</v>
      </c>
      <c r="CQ220" s="46">
        <v>489</v>
      </c>
      <c r="CR220" s="139">
        <v>206000</v>
      </c>
      <c r="CS220" s="301" t="s">
        <v>6319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5791</v>
      </c>
      <c r="CZ220" s="202" t="s">
        <v>5791</v>
      </c>
      <c r="DA220" s="202" t="s">
        <v>5791</v>
      </c>
      <c r="DB220" s="203" t="s">
        <v>5791</v>
      </c>
      <c r="DC220" s="201" t="s">
        <v>5791</v>
      </c>
      <c r="DD220" s="202" t="s">
        <v>5791</v>
      </c>
      <c r="DE220" s="203" t="s">
        <v>5791</v>
      </c>
      <c r="DF220" s="274" t="s">
        <v>5791</v>
      </c>
      <c r="DG220" s="310">
        <v>8.8000000000000007</v>
      </c>
      <c r="DH220" s="310">
        <v>640</v>
      </c>
      <c r="DI220" s="32">
        <v>730</v>
      </c>
      <c r="DJ220" s="310">
        <v>800</v>
      </c>
      <c r="DK220" s="32">
        <v>940</v>
      </c>
      <c r="DL220" s="66">
        <v>200000</v>
      </c>
      <c r="DM220" s="40" t="s">
        <v>4758</v>
      </c>
      <c r="DN220" s="301" t="s">
        <v>4435</v>
      </c>
      <c r="DO220" s="306" t="s">
        <v>4565</v>
      </c>
    </row>
    <row r="221" spans="1:119">
      <c r="A221" s="301">
        <v>216</v>
      </c>
      <c r="B221" s="361"/>
      <c r="C221" s="361"/>
      <c r="D221" s="459"/>
      <c r="E221" s="374"/>
      <c r="F221" s="349"/>
      <c r="G221" s="369"/>
      <c r="H221" s="369"/>
      <c r="I221" s="369"/>
      <c r="J221" s="291" t="s">
        <v>4409</v>
      </c>
      <c r="K221" s="301" t="s">
        <v>4383</v>
      </c>
      <c r="L221" s="310" t="s">
        <v>5791</v>
      </c>
      <c r="M221" s="301" t="s">
        <v>4508</v>
      </c>
      <c r="N221" s="310" t="s">
        <v>4702</v>
      </c>
      <c r="O221" s="18" t="s">
        <v>4506</v>
      </c>
      <c r="P221" s="310" t="s">
        <v>4420</v>
      </c>
      <c r="Q221" s="310" t="s">
        <v>4470</v>
      </c>
      <c r="R221" s="310" t="s">
        <v>4420</v>
      </c>
      <c r="S221" s="310" t="s">
        <v>5791</v>
      </c>
      <c r="T221" s="59" t="s">
        <v>4420</v>
      </c>
      <c r="U221" s="59" t="s">
        <v>5791</v>
      </c>
      <c r="V221" s="59" t="s">
        <v>4420</v>
      </c>
      <c r="W221" s="59" t="s">
        <v>5791</v>
      </c>
      <c r="X221" s="310" t="s">
        <v>4420</v>
      </c>
      <c r="Y221" s="310" t="s">
        <v>5791</v>
      </c>
      <c r="Z221" s="310" t="s">
        <v>6049</v>
      </c>
      <c r="AA221" s="18">
        <v>6</v>
      </c>
      <c r="AB221" s="224">
        <v>0</v>
      </c>
      <c r="AC221" s="140">
        <v>0</v>
      </c>
      <c r="AD221" s="301" t="s">
        <v>4646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0">
        <v>1700</v>
      </c>
      <c r="AJ221" s="301" t="s">
        <v>4234</v>
      </c>
      <c r="AK221" s="21">
        <f>INDEX('[2]Cross-Section Database'!$C$2:$V$2928,MATCH(AJ221,'[2]Cross-Section Database'!$B$2:$B$2928,0),3)</f>
        <v>449.8</v>
      </c>
      <c r="AL221" s="21">
        <f>INDEX('[2]Cross-Section Database'!$C$2:$V$2928,MATCH(AJ221,'[2]Cross-Section Database'!$B$2:$B$2928,0),4)</f>
        <v>152.4</v>
      </c>
      <c r="AM221" s="21">
        <f>INDEX('[2]Cross-Section Database'!$C$2:$V$2928,MATCH(AJ221,'[2]Cross-Section Database'!$B$2:$B$2928,0),6)</f>
        <v>10.9</v>
      </c>
      <c r="AN221" s="21">
        <f>INDEX('[2]Cross-Section Database'!$C$2:$V$2928,MATCH(AJ221,'[2]Cross-Section Database'!$B$2:$B$2928,0),5)</f>
        <v>7.6</v>
      </c>
      <c r="AO221" s="21">
        <v>1320</v>
      </c>
      <c r="AP221" s="21">
        <f>INDEX('[2]Cross-Section Database'!$C$2:$V$3928,MATCH(AJ221,'[2]Cross-Section Database'!$B$2:$B$3928,0),11)</f>
        <v>213700000</v>
      </c>
      <c r="AQ221" s="18">
        <f>INDEX('[2]Cross-Section Database'!$C$2:$V$3928,MATCH(AJ221,'[2]Cross-Section Database'!$B$2:$B$3928,0),12)</f>
        <v>1096000</v>
      </c>
      <c r="AR221" s="21">
        <v>10</v>
      </c>
      <c r="AS221" s="21">
        <v>160</v>
      </c>
      <c r="AT221" s="21">
        <v>450</v>
      </c>
      <c r="AU221" s="21">
        <v>0</v>
      </c>
      <c r="AV221" s="21">
        <f t="shared" si="122"/>
        <v>9.9999999999994316E-2</v>
      </c>
      <c r="AW221" s="301" t="s">
        <v>5806</v>
      </c>
      <c r="AX221" s="310" t="s">
        <v>4705</v>
      </c>
      <c r="AY221" s="21">
        <f t="shared" si="123"/>
        <v>32</v>
      </c>
      <c r="AZ221" s="21">
        <v>20</v>
      </c>
      <c r="BA221" s="310">
        <f t="shared" si="124"/>
        <v>245</v>
      </c>
      <c r="BB221" s="21">
        <v>60</v>
      </c>
      <c r="BC221" s="310">
        <v>90</v>
      </c>
      <c r="BD221" s="21">
        <v>100</v>
      </c>
      <c r="BE221" s="21">
        <v>100</v>
      </c>
      <c r="BF221" s="21">
        <f t="shared" si="125"/>
        <v>200</v>
      </c>
      <c r="BG221" s="310" t="s">
        <v>4420</v>
      </c>
      <c r="BH221" s="310" t="s">
        <v>4465</v>
      </c>
      <c r="BI221" s="310" t="s">
        <v>4465</v>
      </c>
      <c r="BJ221" s="310">
        <v>4</v>
      </c>
      <c r="BK221" s="18">
        <v>8</v>
      </c>
      <c r="BL221" s="196" t="s">
        <v>5791</v>
      </c>
      <c r="BM221" s="197" t="s">
        <v>5791</v>
      </c>
      <c r="BN221" s="197" t="s">
        <v>5791</v>
      </c>
      <c r="BO221" s="197" t="s">
        <v>5791</v>
      </c>
      <c r="BP221" s="197" t="s">
        <v>5791</v>
      </c>
      <c r="BQ221" s="197" t="s">
        <v>5791</v>
      </c>
      <c r="BR221" s="197" t="s">
        <v>5791</v>
      </c>
      <c r="BS221" s="197" t="s">
        <v>5791</v>
      </c>
      <c r="BT221" s="196" t="s">
        <v>5791</v>
      </c>
      <c r="BU221" s="197" t="s">
        <v>5791</v>
      </c>
      <c r="BV221" s="197" t="s">
        <v>5791</v>
      </c>
      <c r="BW221" s="197" t="s">
        <v>5791</v>
      </c>
      <c r="BX221" s="197" t="s">
        <v>5791</v>
      </c>
      <c r="BY221" s="197" t="s">
        <v>5791</v>
      </c>
      <c r="BZ221" s="212" t="s">
        <v>5791</v>
      </c>
      <c r="CA221" s="197" t="s">
        <v>5791</v>
      </c>
      <c r="CB221" s="197" t="s">
        <v>5791</v>
      </c>
      <c r="CC221" s="197" t="s">
        <v>5791</v>
      </c>
      <c r="CD221" s="197" t="s">
        <v>5791</v>
      </c>
      <c r="CE221" s="197" t="s">
        <v>5791</v>
      </c>
      <c r="CF221" s="212" t="s">
        <v>5791</v>
      </c>
      <c r="CG221" s="301" t="s">
        <v>6319</v>
      </c>
      <c r="CH221" s="310">
        <v>275</v>
      </c>
      <c r="CI221" s="21">
        <v>318</v>
      </c>
      <c r="CJ221" s="310">
        <v>410</v>
      </c>
      <c r="CK221" s="21">
        <v>466</v>
      </c>
      <c r="CL221" s="139">
        <v>201000</v>
      </c>
      <c r="CM221" s="301" t="s">
        <v>4450</v>
      </c>
      <c r="CN221" s="310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1" t="s">
        <v>6319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97" t="s">
        <v>5653</v>
      </c>
      <c r="CZ221" s="96">
        <v>43.4</v>
      </c>
      <c r="DA221" s="96">
        <v>3.6</v>
      </c>
      <c r="DB221" s="66">
        <v>35000</v>
      </c>
      <c r="DC221" s="201" t="s">
        <v>5791</v>
      </c>
      <c r="DD221" s="202" t="s">
        <v>5791</v>
      </c>
      <c r="DE221" s="203" t="s">
        <v>5791</v>
      </c>
      <c r="DF221" s="274" t="s">
        <v>5791</v>
      </c>
      <c r="DG221" s="310">
        <v>8.8000000000000007</v>
      </c>
      <c r="DH221" s="310">
        <v>640</v>
      </c>
      <c r="DI221" s="32">
        <v>730</v>
      </c>
      <c r="DJ221" s="310">
        <v>800</v>
      </c>
      <c r="DK221" s="32">
        <v>940</v>
      </c>
      <c r="DL221" s="66">
        <v>200000</v>
      </c>
      <c r="DM221" s="29" t="s">
        <v>5831</v>
      </c>
      <c r="DN221" s="301" t="s">
        <v>4435</v>
      </c>
      <c r="DO221" s="306" t="s">
        <v>4565</v>
      </c>
    </row>
    <row r="222" spans="1:119">
      <c r="A222" s="301">
        <v>217</v>
      </c>
      <c r="B222" s="361"/>
      <c r="C222" s="361"/>
      <c r="D222" s="459"/>
      <c r="E222" s="374"/>
      <c r="F222" s="349"/>
      <c r="G222" s="369"/>
      <c r="H222" s="369"/>
      <c r="I222" s="369"/>
      <c r="J222" s="291" t="s">
        <v>4410</v>
      </c>
      <c r="K222" s="301" t="s">
        <v>4383</v>
      </c>
      <c r="L222" s="310" t="s">
        <v>5791</v>
      </c>
      <c r="M222" s="301" t="s">
        <v>4508</v>
      </c>
      <c r="N222" s="310" t="s">
        <v>4702</v>
      </c>
      <c r="O222" s="18" t="s">
        <v>4506</v>
      </c>
      <c r="P222" s="310" t="s">
        <v>4420</v>
      </c>
      <c r="Q222" s="310" t="s">
        <v>4470</v>
      </c>
      <c r="R222" s="310" t="s">
        <v>4420</v>
      </c>
      <c r="S222" s="310" t="s">
        <v>5791</v>
      </c>
      <c r="T222" s="59" t="s">
        <v>4420</v>
      </c>
      <c r="U222" s="59" t="s">
        <v>5791</v>
      </c>
      <c r="V222" s="59" t="s">
        <v>4420</v>
      </c>
      <c r="W222" s="59" t="s">
        <v>5791</v>
      </c>
      <c r="X222" s="310" t="s">
        <v>4420</v>
      </c>
      <c r="Y222" s="310" t="s">
        <v>5791</v>
      </c>
      <c r="Z222" s="310" t="s">
        <v>6049</v>
      </c>
      <c r="AA222" s="18">
        <v>6</v>
      </c>
      <c r="AB222" s="223">
        <v>0</v>
      </c>
      <c r="AC222" s="18">
        <v>0</v>
      </c>
      <c r="AD222" s="301" t="s">
        <v>4646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45">
        <f>INDEX('[2]Cross-Section Database'!$C$2:$V$2928,MATCH(AD222,'[2]Cross-Section Database'!$B$2:$B$2928,0),6)</f>
        <v>8</v>
      </c>
      <c r="AH222" s="45">
        <f>INDEX('[2]Cross-Section Database'!$C$2:$V$2928,MATCH(AD222,'[2]Cross-Section Database'!$B$2:$B$2928,0),5)</f>
        <v>8</v>
      </c>
      <c r="AI222" s="21">
        <v>1700</v>
      </c>
      <c r="AJ222" s="301" t="s">
        <v>4222</v>
      </c>
      <c r="AK222" s="21">
        <f>INDEX('[2]Cross-Section Database'!$C$2:$V$2928,MATCH(AJ222,'[2]Cross-Section Database'!$B$2:$B$2928,0),3)</f>
        <v>351.4</v>
      </c>
      <c r="AL222" s="21">
        <f>INDEX('[2]Cross-Section Database'!$C$2:$V$2928,MATCH(AJ222,'[2]Cross-Section Database'!$B$2:$B$2928,0),4)</f>
        <v>171.1</v>
      </c>
      <c r="AM222" s="21">
        <f>INDEX('[2]Cross-Section Database'!$C$2:$V$2928,MATCH(AJ222,'[2]Cross-Section Database'!$B$2:$B$2928,0),6)</f>
        <v>9.6999999999999993</v>
      </c>
      <c r="AN222" s="21">
        <f>INDEX('[2]Cross-Section Database'!$C$2:$V$2928,MATCH(AJ222,'[2]Cross-Section Database'!$B$2:$B$2928,0),5)</f>
        <v>7</v>
      </c>
      <c r="AO222" s="21">
        <v>1006</v>
      </c>
      <c r="AP222" s="21">
        <f>INDEX('[2]Cross-Section Database'!$C$2:$V$3928,MATCH(AJ222,'[2]Cross-Section Database'!$B$2:$B$3928,0),11)</f>
        <v>120700000</v>
      </c>
      <c r="AQ222" s="24">
        <f>INDEX('[2]Cross-Section Database'!$C$2:$V$3928,MATCH(AJ222,'[2]Cross-Section Database'!$B$2:$B$3928,0),12)</f>
        <v>774600</v>
      </c>
      <c r="AR222" s="21">
        <v>10</v>
      </c>
      <c r="AS222" s="21">
        <v>160</v>
      </c>
      <c r="AT222" s="21">
        <v>350</v>
      </c>
      <c r="AU222" s="21">
        <v>0</v>
      </c>
      <c r="AV222" s="21">
        <v>0</v>
      </c>
      <c r="AW222" s="301" t="s">
        <v>5806</v>
      </c>
      <c r="AX222" s="310" t="s">
        <v>4705</v>
      </c>
      <c r="AY222" s="310">
        <f t="shared" si="123"/>
        <v>32</v>
      </c>
      <c r="AZ222" s="310">
        <v>20</v>
      </c>
      <c r="BA222" s="310">
        <f t="shared" si="124"/>
        <v>245</v>
      </c>
      <c r="BB222" s="21">
        <v>60</v>
      </c>
      <c r="BC222" s="21">
        <v>90</v>
      </c>
      <c r="BD222" s="21">
        <v>100</v>
      </c>
      <c r="BE222" s="21">
        <v>100</v>
      </c>
      <c r="BF222" s="21">
        <f t="shared" si="125"/>
        <v>100</v>
      </c>
      <c r="BG222" s="310" t="s">
        <v>4420</v>
      </c>
      <c r="BH222" s="310" t="s">
        <v>4465</v>
      </c>
      <c r="BI222" s="310" t="s">
        <v>6204</v>
      </c>
      <c r="BJ222" s="310">
        <v>4</v>
      </c>
      <c r="BK222" s="18">
        <v>6</v>
      </c>
      <c r="BL222" s="196" t="s">
        <v>5791</v>
      </c>
      <c r="BM222" s="197" t="s">
        <v>5791</v>
      </c>
      <c r="BN222" s="197" t="s">
        <v>5791</v>
      </c>
      <c r="BO222" s="197" t="s">
        <v>5791</v>
      </c>
      <c r="BP222" s="197" t="s">
        <v>5791</v>
      </c>
      <c r="BQ222" s="197" t="s">
        <v>5791</v>
      </c>
      <c r="BR222" s="197" t="s">
        <v>5791</v>
      </c>
      <c r="BS222" s="197" t="s">
        <v>5791</v>
      </c>
      <c r="BT222" s="196" t="s">
        <v>5791</v>
      </c>
      <c r="BU222" s="197" t="s">
        <v>5791</v>
      </c>
      <c r="BV222" s="197" t="s">
        <v>5791</v>
      </c>
      <c r="BW222" s="197" t="s">
        <v>5791</v>
      </c>
      <c r="BX222" s="197" t="s">
        <v>5791</v>
      </c>
      <c r="BY222" s="197" t="s">
        <v>5791</v>
      </c>
      <c r="BZ222" s="212" t="s">
        <v>5791</v>
      </c>
      <c r="CA222" s="197" t="s">
        <v>5791</v>
      </c>
      <c r="CB222" s="197" t="s">
        <v>5791</v>
      </c>
      <c r="CC222" s="197" t="s">
        <v>5791</v>
      </c>
      <c r="CD222" s="197" t="s">
        <v>5791</v>
      </c>
      <c r="CE222" s="197" t="s">
        <v>5791</v>
      </c>
      <c r="CF222" s="212" t="s">
        <v>5791</v>
      </c>
      <c r="CG222" s="301" t="s">
        <v>6319</v>
      </c>
      <c r="CH222" s="310">
        <v>275</v>
      </c>
      <c r="CI222" s="21">
        <v>318</v>
      </c>
      <c r="CJ222" s="310">
        <v>410</v>
      </c>
      <c r="CK222" s="21">
        <v>466</v>
      </c>
      <c r="CL222" s="139">
        <v>201000</v>
      </c>
      <c r="CM222" s="301" t="s">
        <v>4450</v>
      </c>
      <c r="CN222" s="310">
        <v>275</v>
      </c>
      <c r="CO222" s="46">
        <v>318</v>
      </c>
      <c r="CP222" s="59">
        <v>430</v>
      </c>
      <c r="CQ222" s="46">
        <v>466</v>
      </c>
      <c r="CR222" s="139">
        <v>201000</v>
      </c>
      <c r="CS222" s="301" t="s">
        <v>6319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97" t="s">
        <v>5653</v>
      </c>
      <c r="CZ222" s="96">
        <v>43.4</v>
      </c>
      <c r="DA222" s="96">
        <v>3.6</v>
      </c>
      <c r="DB222" s="66">
        <v>35000</v>
      </c>
      <c r="DC222" s="201" t="s">
        <v>5791</v>
      </c>
      <c r="DD222" s="202" t="s">
        <v>5791</v>
      </c>
      <c r="DE222" s="203" t="s">
        <v>5791</v>
      </c>
      <c r="DF222" s="274" t="s">
        <v>5791</v>
      </c>
      <c r="DG222" s="310">
        <v>8.8000000000000007</v>
      </c>
      <c r="DH222" s="310">
        <v>640</v>
      </c>
      <c r="DI222" s="32">
        <v>730</v>
      </c>
      <c r="DJ222" s="310">
        <v>800</v>
      </c>
      <c r="DK222" s="32">
        <v>940</v>
      </c>
      <c r="DL222" s="66">
        <v>200000</v>
      </c>
      <c r="DM222" s="29" t="s">
        <v>5831</v>
      </c>
      <c r="DN222" s="301" t="s">
        <v>4435</v>
      </c>
      <c r="DO222" s="306" t="s">
        <v>4565</v>
      </c>
    </row>
    <row r="223" spans="1:119">
      <c r="A223" s="301">
        <v>218</v>
      </c>
      <c r="B223" s="361"/>
      <c r="C223" s="361"/>
      <c r="D223" s="459"/>
      <c r="E223" s="374"/>
      <c r="F223" s="349"/>
      <c r="G223" s="369"/>
      <c r="H223" s="369"/>
      <c r="I223" s="369"/>
      <c r="J223" s="291" t="s">
        <v>4411</v>
      </c>
      <c r="K223" s="301" t="s">
        <v>4383</v>
      </c>
      <c r="L223" s="310" t="s">
        <v>5791</v>
      </c>
      <c r="M223" s="301" t="s">
        <v>4508</v>
      </c>
      <c r="N223" s="310" t="s">
        <v>4702</v>
      </c>
      <c r="O223" s="18" t="s">
        <v>4506</v>
      </c>
      <c r="P223" s="310" t="s">
        <v>4420</v>
      </c>
      <c r="Q223" s="310" t="s">
        <v>4470</v>
      </c>
      <c r="R223" s="310" t="s">
        <v>4420</v>
      </c>
      <c r="S223" s="310" t="s">
        <v>5791</v>
      </c>
      <c r="T223" s="59" t="s">
        <v>4420</v>
      </c>
      <c r="U223" s="59" t="s">
        <v>5791</v>
      </c>
      <c r="V223" s="59" t="s">
        <v>4420</v>
      </c>
      <c r="W223" s="59" t="s">
        <v>5791</v>
      </c>
      <c r="X223" s="310" t="s">
        <v>4420</v>
      </c>
      <c r="Y223" s="310" t="s">
        <v>5791</v>
      </c>
      <c r="Z223" s="310" t="s">
        <v>6049</v>
      </c>
      <c r="AA223" s="18">
        <v>6</v>
      </c>
      <c r="AB223" s="223">
        <v>0</v>
      </c>
      <c r="AC223" s="18">
        <v>0</v>
      </c>
      <c r="AD223" s="301" t="s">
        <v>4728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6.3</v>
      </c>
      <c r="AH223" s="21">
        <f>INDEX('[2]Cross-Section Database'!$C$2:$V$2928,MATCH(AD223,'[2]Cross-Section Database'!$B$2:$B$2928,0),5)</f>
        <v>6.3</v>
      </c>
      <c r="AI223" s="310">
        <v>1700</v>
      </c>
      <c r="AJ223" s="301" t="s">
        <v>4222</v>
      </c>
      <c r="AK223" s="21">
        <f>INDEX('[2]Cross-Section Database'!$C$2:$V$2928,MATCH(AJ223,'[2]Cross-Section Database'!$B$2:$B$2928,0),3)</f>
        <v>351.4</v>
      </c>
      <c r="AL223" s="21">
        <f>INDEX('[2]Cross-Section Database'!$C$2:$V$2928,MATCH(AJ223,'[2]Cross-Section Database'!$B$2:$B$2928,0),4)</f>
        <v>171.1</v>
      </c>
      <c r="AM223" s="21">
        <f>INDEX('[2]Cross-Section Database'!$C$2:$V$2928,MATCH(AJ223,'[2]Cross-Section Database'!$B$2:$B$2928,0),6)</f>
        <v>9.6999999999999993</v>
      </c>
      <c r="AN223" s="21">
        <f>INDEX('[2]Cross-Section Database'!$C$2:$V$2928,MATCH(AJ223,'[2]Cross-Section Database'!$B$2:$B$2928,0),5)</f>
        <v>7</v>
      </c>
      <c r="AO223" s="21">
        <v>1005</v>
      </c>
      <c r="AP223" s="21">
        <f>INDEX('[2]Cross-Section Database'!$C$2:$V$3928,MATCH(AJ223,'[2]Cross-Section Database'!$B$2:$B$3928,0),11)</f>
        <v>120700000</v>
      </c>
      <c r="AQ223" s="24">
        <f>INDEX('[2]Cross-Section Database'!$C$2:$V$3928,MATCH(AJ223,'[2]Cross-Section Database'!$B$2:$B$3928,0),12)</f>
        <v>774600</v>
      </c>
      <c r="AR223" s="21">
        <v>10</v>
      </c>
      <c r="AS223" s="21">
        <v>160</v>
      </c>
      <c r="AT223" s="21">
        <v>350</v>
      </c>
      <c r="AU223" s="21">
        <v>0</v>
      </c>
      <c r="AV223" s="21">
        <v>0</v>
      </c>
      <c r="AW223" s="301" t="s">
        <v>5806</v>
      </c>
      <c r="AX223" s="310" t="s">
        <v>4705</v>
      </c>
      <c r="AY223" s="310">
        <f t="shared" si="123"/>
        <v>32</v>
      </c>
      <c r="AZ223" s="310">
        <v>20</v>
      </c>
      <c r="BA223" s="310">
        <f t="shared" si="124"/>
        <v>245</v>
      </c>
      <c r="BB223" s="21">
        <v>60</v>
      </c>
      <c r="BC223" s="21">
        <v>90</v>
      </c>
      <c r="BD223" s="21">
        <v>100</v>
      </c>
      <c r="BE223" s="21">
        <v>100</v>
      </c>
      <c r="BF223" s="21">
        <f t="shared" si="125"/>
        <v>100</v>
      </c>
      <c r="BG223" s="310" t="s">
        <v>4420</v>
      </c>
      <c r="BH223" s="310" t="s">
        <v>4465</v>
      </c>
      <c r="BI223" s="310" t="s">
        <v>6204</v>
      </c>
      <c r="BJ223" s="310">
        <v>4</v>
      </c>
      <c r="BK223" s="18">
        <v>6</v>
      </c>
      <c r="BL223" s="196" t="s">
        <v>5791</v>
      </c>
      <c r="BM223" s="197" t="s">
        <v>5791</v>
      </c>
      <c r="BN223" s="197" t="s">
        <v>5791</v>
      </c>
      <c r="BO223" s="197" t="s">
        <v>5791</v>
      </c>
      <c r="BP223" s="197" t="s">
        <v>5791</v>
      </c>
      <c r="BQ223" s="197" t="s">
        <v>5791</v>
      </c>
      <c r="BR223" s="197" t="s">
        <v>5791</v>
      </c>
      <c r="BS223" s="197" t="s">
        <v>5791</v>
      </c>
      <c r="BT223" s="196" t="s">
        <v>5791</v>
      </c>
      <c r="BU223" s="197" t="s">
        <v>5791</v>
      </c>
      <c r="BV223" s="197" t="s">
        <v>5791</v>
      </c>
      <c r="BW223" s="197" t="s">
        <v>5791</v>
      </c>
      <c r="BX223" s="197" t="s">
        <v>5791</v>
      </c>
      <c r="BY223" s="197" t="s">
        <v>5791</v>
      </c>
      <c r="BZ223" s="212" t="s">
        <v>5791</v>
      </c>
      <c r="CA223" s="197" t="s">
        <v>5791</v>
      </c>
      <c r="CB223" s="197" t="s">
        <v>5791</v>
      </c>
      <c r="CC223" s="197" t="s">
        <v>5791</v>
      </c>
      <c r="CD223" s="197" t="s">
        <v>5791</v>
      </c>
      <c r="CE223" s="197" t="s">
        <v>5791</v>
      </c>
      <c r="CF223" s="212" t="s">
        <v>5791</v>
      </c>
      <c r="CG223" s="301" t="s">
        <v>6319</v>
      </c>
      <c r="CH223" s="310">
        <v>275</v>
      </c>
      <c r="CI223" s="21">
        <v>336</v>
      </c>
      <c r="CJ223" s="310">
        <v>410</v>
      </c>
      <c r="CK223" s="21">
        <v>479</v>
      </c>
      <c r="CL223" s="139">
        <v>205000</v>
      </c>
      <c r="CM223" s="301" t="s">
        <v>4450</v>
      </c>
      <c r="CN223" s="310">
        <v>275</v>
      </c>
      <c r="CO223" s="46">
        <v>336</v>
      </c>
      <c r="CP223" s="59">
        <v>430</v>
      </c>
      <c r="CQ223" s="46">
        <v>479</v>
      </c>
      <c r="CR223" s="139">
        <v>205000</v>
      </c>
      <c r="CS223" s="301" t="s">
        <v>6319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97" t="s">
        <v>5653</v>
      </c>
      <c r="CZ223" s="96">
        <v>43.4</v>
      </c>
      <c r="DA223" s="96">
        <v>3.6</v>
      </c>
      <c r="DB223" s="66">
        <v>35000</v>
      </c>
      <c r="DC223" s="201" t="s">
        <v>5791</v>
      </c>
      <c r="DD223" s="202" t="s">
        <v>5791</v>
      </c>
      <c r="DE223" s="203" t="s">
        <v>5791</v>
      </c>
      <c r="DF223" s="274" t="s">
        <v>5791</v>
      </c>
      <c r="DG223" s="310">
        <v>8.8000000000000007</v>
      </c>
      <c r="DH223" s="310">
        <v>640</v>
      </c>
      <c r="DI223" s="32">
        <v>730</v>
      </c>
      <c r="DJ223" s="310">
        <v>800</v>
      </c>
      <c r="DK223" s="32">
        <v>940</v>
      </c>
      <c r="DL223" s="66">
        <v>200000</v>
      </c>
      <c r="DM223" s="29" t="s">
        <v>4764</v>
      </c>
      <c r="DN223" s="301" t="s">
        <v>4435</v>
      </c>
      <c r="DO223" s="306" t="s">
        <v>4565</v>
      </c>
    </row>
    <row r="224" spans="1:119" ht="15.6" customHeight="1" thickBot="1">
      <c r="A224" s="301">
        <v>219</v>
      </c>
      <c r="B224" s="352"/>
      <c r="C224" s="352"/>
      <c r="D224" s="460"/>
      <c r="E224" s="375"/>
      <c r="F224" s="350"/>
      <c r="G224" s="370"/>
      <c r="H224" s="370"/>
      <c r="I224" s="370"/>
      <c r="J224" s="291" t="s">
        <v>4412</v>
      </c>
      <c r="K224" s="301" t="s">
        <v>4383</v>
      </c>
      <c r="L224" s="310" t="s">
        <v>5791</v>
      </c>
      <c r="M224" s="301" t="s">
        <v>4508</v>
      </c>
      <c r="N224" s="310" t="s">
        <v>4702</v>
      </c>
      <c r="O224" s="18" t="s">
        <v>4506</v>
      </c>
      <c r="P224" s="310" t="s">
        <v>4420</v>
      </c>
      <c r="Q224" s="310" t="s">
        <v>4470</v>
      </c>
      <c r="R224" s="310" t="s">
        <v>4420</v>
      </c>
      <c r="S224" s="310" t="s">
        <v>5791</v>
      </c>
      <c r="T224" s="59" t="s">
        <v>4420</v>
      </c>
      <c r="U224" s="59" t="s">
        <v>5791</v>
      </c>
      <c r="V224" s="59" t="s">
        <v>4420</v>
      </c>
      <c r="W224" s="59" t="s">
        <v>5791</v>
      </c>
      <c r="X224" s="310" t="s">
        <v>4420</v>
      </c>
      <c r="Y224" s="310" t="s">
        <v>5791</v>
      </c>
      <c r="Z224" s="310" t="s">
        <v>6049</v>
      </c>
      <c r="AA224" s="18">
        <v>6</v>
      </c>
      <c r="AB224" s="228">
        <v>0</v>
      </c>
      <c r="AC224" s="14">
        <v>0</v>
      </c>
      <c r="AD224" s="301" t="s">
        <v>4646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45">
        <f>INDEX('[2]Cross-Section Database'!$C$2:$V$2928,MATCH(AD224,'[2]Cross-Section Database'!$B$2:$B$2928,0),6)</f>
        <v>8</v>
      </c>
      <c r="AH224" s="45">
        <f>INDEX('[2]Cross-Section Database'!$C$2:$V$2928,MATCH(AD224,'[2]Cross-Section Database'!$B$2:$B$2928,0),5)</f>
        <v>8</v>
      </c>
      <c r="AI224" s="21">
        <v>1700</v>
      </c>
      <c r="AJ224" s="301" t="s">
        <v>4208</v>
      </c>
      <c r="AK224" s="21">
        <f>INDEX('[2]Cross-Section Database'!$C$2:$V$2928,MATCH(AJ224,'[2]Cross-Section Database'!$B$2:$B$2928,0),3)</f>
        <v>251.4</v>
      </c>
      <c r="AL224" s="21">
        <f>INDEX('[2]Cross-Section Database'!$C$2:$V$2928,MATCH(AJ224,'[2]Cross-Section Database'!$B$2:$B$2928,0),4)</f>
        <v>146.1</v>
      </c>
      <c r="AM224" s="21">
        <f>INDEX('[2]Cross-Section Database'!$C$2:$V$2928,MATCH(AJ224,'[2]Cross-Section Database'!$B$2:$B$2928,0),6)</f>
        <v>8.6</v>
      </c>
      <c r="AN224" s="21">
        <f>INDEX('[2]Cross-Section Database'!$C$2:$V$2928,MATCH(AJ224,'[2]Cross-Section Database'!$B$2:$B$2928,0),5)</f>
        <v>6</v>
      </c>
      <c r="AO224" s="21">
        <v>1008</v>
      </c>
      <c r="AP224" s="21">
        <f>INDEX('[2]Cross-Section Database'!$C$2:$V$3928,MATCH(AJ224,'[2]Cross-Section Database'!$B$2:$B$3928,0),11)</f>
        <v>44130000</v>
      </c>
      <c r="AQ224" s="24">
        <f>INDEX('[2]Cross-Section Database'!$C$2:$V$3928,MATCH(AJ224,'[2]Cross-Section Database'!$B$2:$B$3928,0),12)</f>
        <v>393100</v>
      </c>
      <c r="AR224" s="21">
        <v>10</v>
      </c>
      <c r="AS224" s="21">
        <v>160</v>
      </c>
      <c r="AT224" s="21">
        <v>250</v>
      </c>
      <c r="AU224" s="21">
        <v>0</v>
      </c>
      <c r="AV224" s="21">
        <v>0</v>
      </c>
      <c r="AW224" s="308" t="s">
        <v>5806</v>
      </c>
      <c r="AX224" s="311" t="s">
        <v>4705</v>
      </c>
      <c r="AY224" s="311">
        <f t="shared" si="123"/>
        <v>32</v>
      </c>
      <c r="AZ224" s="311">
        <v>20</v>
      </c>
      <c r="BA224" s="311">
        <f t="shared" si="124"/>
        <v>245</v>
      </c>
      <c r="BB224" s="23">
        <v>60</v>
      </c>
      <c r="BC224" s="23">
        <v>90</v>
      </c>
      <c r="BD224" s="23">
        <v>0</v>
      </c>
      <c r="BE224" s="23">
        <v>100</v>
      </c>
      <c r="BF224" s="23">
        <f t="shared" si="125"/>
        <v>100</v>
      </c>
      <c r="BG224" s="311" t="s">
        <v>4470</v>
      </c>
      <c r="BH224" s="311" t="s">
        <v>6204</v>
      </c>
      <c r="BI224" s="311" t="s">
        <v>6204</v>
      </c>
      <c r="BJ224" s="311">
        <v>2</v>
      </c>
      <c r="BK224" s="14">
        <v>4</v>
      </c>
      <c r="BL224" s="191" t="s">
        <v>5791</v>
      </c>
      <c r="BM224" s="192" t="s">
        <v>5791</v>
      </c>
      <c r="BN224" s="192" t="s">
        <v>5791</v>
      </c>
      <c r="BO224" s="192" t="s">
        <v>5791</v>
      </c>
      <c r="BP224" s="192" t="s">
        <v>5791</v>
      </c>
      <c r="BQ224" s="192" t="s">
        <v>5791</v>
      </c>
      <c r="BR224" s="192" t="s">
        <v>5791</v>
      </c>
      <c r="BS224" s="192" t="s">
        <v>5791</v>
      </c>
      <c r="BT224" s="191" t="s">
        <v>5791</v>
      </c>
      <c r="BU224" s="192" t="s">
        <v>5791</v>
      </c>
      <c r="BV224" s="192" t="s">
        <v>5791</v>
      </c>
      <c r="BW224" s="192" t="s">
        <v>5791</v>
      </c>
      <c r="BX224" s="192" t="s">
        <v>5791</v>
      </c>
      <c r="BY224" s="192" t="s">
        <v>5791</v>
      </c>
      <c r="BZ224" s="214" t="s">
        <v>5791</v>
      </c>
      <c r="CA224" s="192" t="s">
        <v>5791</v>
      </c>
      <c r="CB224" s="192" t="s">
        <v>5791</v>
      </c>
      <c r="CC224" s="192" t="s">
        <v>5791</v>
      </c>
      <c r="CD224" s="192" t="s">
        <v>5791</v>
      </c>
      <c r="CE224" s="192" t="s">
        <v>5791</v>
      </c>
      <c r="CF224" s="214" t="s">
        <v>5791</v>
      </c>
      <c r="CG224" s="308" t="s">
        <v>6319</v>
      </c>
      <c r="CH224" s="311">
        <v>275</v>
      </c>
      <c r="CI224" s="23">
        <v>318</v>
      </c>
      <c r="CJ224" s="311">
        <v>410</v>
      </c>
      <c r="CK224" s="23">
        <v>466</v>
      </c>
      <c r="CL224" s="100">
        <v>201000</v>
      </c>
      <c r="CM224" s="308" t="s">
        <v>4450</v>
      </c>
      <c r="CN224" s="311">
        <v>275</v>
      </c>
      <c r="CO224" s="84">
        <v>318</v>
      </c>
      <c r="CP224" s="86">
        <v>430</v>
      </c>
      <c r="CQ224" s="84">
        <v>466</v>
      </c>
      <c r="CR224" s="100">
        <v>201000</v>
      </c>
      <c r="CS224" s="308" t="s">
        <v>6319</v>
      </c>
      <c r="CT224" s="86">
        <v>275</v>
      </c>
      <c r="CU224" s="34">
        <v>360</v>
      </c>
      <c r="CV224" s="86">
        <v>410</v>
      </c>
      <c r="CW224" s="34">
        <v>530</v>
      </c>
      <c r="CX224" s="69">
        <v>200000</v>
      </c>
      <c r="CY224" s="99" t="s">
        <v>5653</v>
      </c>
      <c r="CZ224" s="98">
        <v>43.4</v>
      </c>
      <c r="DA224" s="98">
        <v>3.6</v>
      </c>
      <c r="DB224" s="69">
        <v>35000</v>
      </c>
      <c r="DC224" s="204" t="s">
        <v>5791</v>
      </c>
      <c r="DD224" s="205" t="s">
        <v>5791</v>
      </c>
      <c r="DE224" s="206" t="s">
        <v>5791</v>
      </c>
      <c r="DF224" s="275" t="s">
        <v>5791</v>
      </c>
      <c r="DG224" s="311">
        <v>8.8000000000000007</v>
      </c>
      <c r="DH224" s="311">
        <v>640</v>
      </c>
      <c r="DI224" s="34">
        <v>730</v>
      </c>
      <c r="DJ224" s="311">
        <v>800</v>
      </c>
      <c r="DK224" s="34">
        <v>940</v>
      </c>
      <c r="DL224" s="69">
        <v>200000</v>
      </c>
      <c r="DM224" s="27" t="s">
        <v>5831</v>
      </c>
      <c r="DN224" s="308" t="s">
        <v>4435</v>
      </c>
      <c r="DO224" s="307" t="s">
        <v>4565</v>
      </c>
    </row>
    <row r="225" spans="1:119" ht="15.6" customHeight="1">
      <c r="A225" s="300">
        <v>220</v>
      </c>
      <c r="B225" s="351">
        <v>31</v>
      </c>
      <c r="C225" s="351">
        <v>2001</v>
      </c>
      <c r="D225" s="458" t="s">
        <v>4676</v>
      </c>
      <c r="E225" s="373" t="s">
        <v>4852</v>
      </c>
      <c r="F225" s="348">
        <v>5</v>
      </c>
      <c r="G225" s="368" t="s">
        <v>5911</v>
      </c>
      <c r="H225" s="368" t="s">
        <v>5901</v>
      </c>
      <c r="I225" s="368" t="s">
        <v>6238</v>
      </c>
      <c r="J225" s="284" t="s">
        <v>6316</v>
      </c>
      <c r="K225" s="300" t="s">
        <v>6320</v>
      </c>
      <c r="L225" s="309" t="s">
        <v>5791</v>
      </c>
      <c r="M225" s="300" t="s">
        <v>4507</v>
      </c>
      <c r="N225" s="309" t="s">
        <v>4701</v>
      </c>
      <c r="O225" s="17" t="s">
        <v>4506</v>
      </c>
      <c r="P225" s="309" t="s">
        <v>4420</v>
      </c>
      <c r="Q225" s="309" t="s">
        <v>4420</v>
      </c>
      <c r="R225" s="309" t="s">
        <v>6165</v>
      </c>
      <c r="S225" s="309">
        <v>12</v>
      </c>
      <c r="T225" s="64" t="s">
        <v>4420</v>
      </c>
      <c r="U225" s="64" t="s">
        <v>5791</v>
      </c>
      <c r="V225" s="64" t="s">
        <v>4420</v>
      </c>
      <c r="W225" s="64" t="s">
        <v>5791</v>
      </c>
      <c r="X225" s="309" t="s">
        <v>4420</v>
      </c>
      <c r="Y225" s="309" t="s">
        <v>5791</v>
      </c>
      <c r="Z225" s="309" t="s">
        <v>4558</v>
      </c>
      <c r="AA225" s="17">
        <v>10</v>
      </c>
      <c r="AB225" s="223">
        <v>0</v>
      </c>
      <c r="AC225" s="18">
        <v>0</v>
      </c>
      <c r="AD225" s="300" t="s">
        <v>6321</v>
      </c>
      <c r="AE225" s="16">
        <f>INDEX('[2]Cross-Section Database'!$C$2:$V$2928,MATCH(AD225,'[2]Cross-Section Database'!$B$2:$B$2928,0),3)</f>
        <v>206.2</v>
      </c>
      <c r="AF225" s="16">
        <f>INDEX('[2]Cross-Section Database'!$C$2:$V$2928,MATCH(AD225,'[2]Cross-Section Database'!$B$2:$B$2928,0),4)</f>
        <v>204.3</v>
      </c>
      <c r="AG225" s="16">
        <f>INDEX('[2]Cross-Section Database'!$C$2:$V$2928,MATCH(AD225,'[2]Cross-Section Database'!$B$2:$B$2928,0),6)</f>
        <v>12.5</v>
      </c>
      <c r="AH225" s="16">
        <f>INDEX('[2]Cross-Section Database'!$C$2:$V$2928,MATCH(AD225,'[2]Cross-Section Database'!$B$2:$B$2928,0),5)</f>
        <v>7.9</v>
      </c>
      <c r="AI225" s="16">
        <v>1200</v>
      </c>
      <c r="AJ225" s="300" t="s">
        <v>6331</v>
      </c>
      <c r="AK225" s="16">
        <f>INDEX('[2]Cross-Section Database'!$C$2:$V$2928,MATCH(AJ225,'[2]Cross-Section Database'!$B$2:$B$2928,0),3)</f>
        <v>449.8</v>
      </c>
      <c r="AL225" s="16">
        <f>INDEX('[2]Cross-Section Database'!$C$2:$V$2928,MATCH(AJ225,'[2]Cross-Section Database'!$B$2:$B$2928,0),4)</f>
        <v>152.4</v>
      </c>
      <c r="AM225" s="16">
        <f>INDEX('[2]Cross-Section Database'!$C$2:$V$2928,MATCH(AJ225,'[2]Cross-Section Database'!$B$2:$B$2928,0),6)</f>
        <v>10.9</v>
      </c>
      <c r="AN225" s="16">
        <f>INDEX('[2]Cross-Section Database'!$C$2:$V$2928,MATCH(AJ225,'[2]Cross-Section Database'!$B$2:$B$2928,0),5)</f>
        <v>7.6</v>
      </c>
      <c r="AO225" s="16">
        <v>1410</v>
      </c>
      <c r="AP225" s="16">
        <f>INDEX('[2]Cross-Section Database'!$C$2:$V$3928,MATCH(AJ225,'[2]Cross-Section Database'!$B$2:$B$3928,0),11)</f>
        <v>213700000</v>
      </c>
      <c r="AQ225" s="26">
        <f>INDEX('[2]Cross-Section Database'!$C$2:$V$3928,MATCH(AJ225,'[2]Cross-Section Database'!$B$2:$B$3928,0),12)</f>
        <v>1096000</v>
      </c>
      <c r="AR225" s="16">
        <v>15.1</v>
      </c>
      <c r="AS225" s="16">
        <v>200</v>
      </c>
      <c r="AT225" s="16">
        <v>500</v>
      </c>
      <c r="AU225" s="16">
        <f t="shared" si="121"/>
        <v>25.099999999999994</v>
      </c>
      <c r="AV225" s="16">
        <f t="shared" si="122"/>
        <v>25.099999999999994</v>
      </c>
      <c r="AW225" s="301" t="s">
        <v>5806</v>
      </c>
      <c r="AX225" s="310" t="s">
        <v>4562</v>
      </c>
      <c r="AY225" s="310">
        <f t="shared" ref="AY225:AY226" si="126" xml:space="preserve"> 200/AZ225/0.25</f>
        <v>40</v>
      </c>
      <c r="AZ225" s="310">
        <v>20</v>
      </c>
      <c r="BA225" s="310">
        <f t="shared" si="124"/>
        <v>245</v>
      </c>
      <c r="BB225" s="21">
        <v>75</v>
      </c>
      <c r="BC225" s="21">
        <f t="shared" ref="BC225:BC254" si="127">BB225</f>
        <v>75</v>
      </c>
      <c r="BD225" s="21">
        <v>90</v>
      </c>
      <c r="BE225" s="21">
        <v>90</v>
      </c>
      <c r="BF225" s="21">
        <f t="shared" si="125"/>
        <v>260</v>
      </c>
      <c r="BG225" s="310" t="s">
        <v>6318</v>
      </c>
      <c r="BH225" s="310" t="s">
        <v>6204</v>
      </c>
      <c r="BI225" s="310" t="s">
        <v>4465</v>
      </c>
      <c r="BJ225" s="310">
        <v>2</v>
      </c>
      <c r="BK225" s="310">
        <v>6</v>
      </c>
      <c r="BL225" s="196" t="s">
        <v>5791</v>
      </c>
      <c r="BM225" s="197" t="s">
        <v>5791</v>
      </c>
      <c r="BN225" s="197" t="s">
        <v>5791</v>
      </c>
      <c r="BO225" s="197" t="s">
        <v>5791</v>
      </c>
      <c r="BP225" s="197" t="s">
        <v>5791</v>
      </c>
      <c r="BQ225" s="197" t="s">
        <v>5791</v>
      </c>
      <c r="BR225" s="197" t="s">
        <v>5791</v>
      </c>
      <c r="BS225" s="197" t="s">
        <v>5791</v>
      </c>
      <c r="BT225" s="196" t="s">
        <v>5791</v>
      </c>
      <c r="BU225" s="197" t="s">
        <v>5791</v>
      </c>
      <c r="BV225" s="197" t="s">
        <v>5791</v>
      </c>
      <c r="BW225" s="197" t="s">
        <v>5791</v>
      </c>
      <c r="BX225" s="197" t="s">
        <v>5791</v>
      </c>
      <c r="BY225" s="197" t="s">
        <v>5791</v>
      </c>
      <c r="BZ225" s="212" t="s">
        <v>5791</v>
      </c>
      <c r="CA225" s="197" t="s">
        <v>5791</v>
      </c>
      <c r="CB225" s="197" t="s">
        <v>5791</v>
      </c>
      <c r="CC225" s="197" t="s">
        <v>5791</v>
      </c>
      <c r="CD225" s="197" t="s">
        <v>5791</v>
      </c>
      <c r="CE225" s="197" t="s">
        <v>5791</v>
      </c>
      <c r="CF225" s="212" t="s">
        <v>5791</v>
      </c>
      <c r="CG225" s="310" t="s">
        <v>6084</v>
      </c>
      <c r="CH225" s="310">
        <v>275</v>
      </c>
      <c r="CI225" s="21">
        <v>299.5</v>
      </c>
      <c r="CJ225" s="21">
        <v>410</v>
      </c>
      <c r="CK225" s="21">
        <v>493</v>
      </c>
      <c r="CL225" s="95">
        <v>208500</v>
      </c>
      <c r="CM225" s="310" t="s">
        <v>6084</v>
      </c>
      <c r="CN225" s="310">
        <v>275</v>
      </c>
      <c r="CO225" s="21">
        <f>(339+312+341+311)/4</f>
        <v>325.75</v>
      </c>
      <c r="CP225" s="310">
        <v>430</v>
      </c>
      <c r="CQ225" s="21">
        <v>489.5</v>
      </c>
      <c r="CR225" s="95">
        <f>(197000+211000+193000+210000)/4</f>
        <v>202750</v>
      </c>
      <c r="CS225" s="310" t="s">
        <v>6084</v>
      </c>
      <c r="CT225" s="59">
        <v>275</v>
      </c>
      <c r="CU225" s="59">
        <v>305</v>
      </c>
      <c r="CV225" s="310">
        <v>410</v>
      </c>
      <c r="CW225" s="310">
        <v>483</v>
      </c>
      <c r="CX225" s="95">
        <v>215000</v>
      </c>
      <c r="CY225" s="198" t="s">
        <v>5791</v>
      </c>
      <c r="CZ225" s="199" t="s">
        <v>5791</v>
      </c>
      <c r="DA225" s="199" t="s">
        <v>5791</v>
      </c>
      <c r="DB225" s="200" t="s">
        <v>5791</v>
      </c>
      <c r="DC225" s="198" t="s">
        <v>5791</v>
      </c>
      <c r="DD225" s="199" t="s">
        <v>5791</v>
      </c>
      <c r="DE225" s="200" t="s">
        <v>5791</v>
      </c>
      <c r="DF225" s="274" t="s">
        <v>5791</v>
      </c>
      <c r="DG225" s="309">
        <v>8.8000000000000007</v>
      </c>
      <c r="DH225" s="309">
        <v>640</v>
      </c>
      <c r="DI225" s="30">
        <v>730</v>
      </c>
      <c r="DJ225" s="309">
        <v>800</v>
      </c>
      <c r="DK225" s="30">
        <v>940</v>
      </c>
      <c r="DL225" s="75">
        <v>200000</v>
      </c>
      <c r="DM225" s="28" t="s">
        <v>5831</v>
      </c>
      <c r="DN225" s="310" t="s">
        <v>4435</v>
      </c>
      <c r="DO225" s="306" t="s">
        <v>4565</v>
      </c>
    </row>
    <row r="226" spans="1:119">
      <c r="A226" s="301">
        <v>221</v>
      </c>
      <c r="B226" s="361"/>
      <c r="C226" s="361"/>
      <c r="D226" s="459"/>
      <c r="E226" s="374"/>
      <c r="F226" s="349"/>
      <c r="G226" s="369"/>
      <c r="H226" s="369"/>
      <c r="I226" s="369"/>
      <c r="J226" s="286" t="s">
        <v>4397</v>
      </c>
      <c r="K226" s="301" t="s">
        <v>6320</v>
      </c>
      <c r="L226" s="310" t="s">
        <v>5791</v>
      </c>
      <c r="M226" s="301" t="s">
        <v>4507</v>
      </c>
      <c r="N226" s="310" t="s">
        <v>4701</v>
      </c>
      <c r="O226" s="18" t="s">
        <v>4506</v>
      </c>
      <c r="P226" s="310" t="s">
        <v>4470</v>
      </c>
      <c r="Q226" s="310" t="s">
        <v>4420</v>
      </c>
      <c r="R226" s="310" t="s">
        <v>6165</v>
      </c>
      <c r="S226" s="310">
        <v>12</v>
      </c>
      <c r="T226" s="59" t="s">
        <v>4420</v>
      </c>
      <c r="U226" s="59" t="s">
        <v>5791</v>
      </c>
      <c r="V226" s="59" t="s">
        <v>4420</v>
      </c>
      <c r="W226" s="59" t="s">
        <v>5791</v>
      </c>
      <c r="X226" s="310" t="s">
        <v>4420</v>
      </c>
      <c r="Y226" s="310" t="s">
        <v>5791</v>
      </c>
      <c r="Z226" s="310" t="s">
        <v>4558</v>
      </c>
      <c r="AA226" s="18">
        <v>10</v>
      </c>
      <c r="AB226" s="223">
        <v>0</v>
      </c>
      <c r="AC226" s="18">
        <v>0</v>
      </c>
      <c r="AD226" s="301" t="s">
        <v>4342</v>
      </c>
      <c r="AE226" s="21">
        <f>INDEX('[2]Cross-Section Database'!$C$2:$V$2928,MATCH(AD226,'[2]Cross-Section Database'!$B$2:$B$2928,0),3)</f>
        <v>206.2</v>
      </c>
      <c r="AF226" s="21">
        <f>INDEX('[2]Cross-Section Database'!$C$2:$V$2928,MATCH(AD226,'[2]Cross-Section Database'!$B$2:$B$2928,0),4)</f>
        <v>204.3</v>
      </c>
      <c r="AG226" s="21">
        <f>INDEX('[2]Cross-Section Database'!$C$2:$V$2928,MATCH(AD226,'[2]Cross-Section Database'!$B$2:$B$2928,0),6)</f>
        <v>12.5</v>
      </c>
      <c r="AH226" s="21">
        <f>INDEX('[2]Cross-Section Database'!$C$2:$V$2928,MATCH(AD226,'[2]Cross-Section Database'!$B$2:$B$2928,0),5)</f>
        <v>7.9</v>
      </c>
      <c r="AI226" s="21">
        <v>1200</v>
      </c>
      <c r="AJ226" s="301" t="s">
        <v>6331</v>
      </c>
      <c r="AK226" s="21">
        <f>INDEX('[2]Cross-Section Database'!$C$2:$V$2928,MATCH(AJ226,'[2]Cross-Section Database'!$B$2:$B$2928,0),3)</f>
        <v>449.8</v>
      </c>
      <c r="AL226" s="21">
        <f>INDEX('[2]Cross-Section Database'!$C$2:$V$2928,MATCH(AJ226,'[2]Cross-Section Database'!$B$2:$B$2928,0),4)</f>
        <v>152.4</v>
      </c>
      <c r="AM226" s="21">
        <f>INDEX('[2]Cross-Section Database'!$C$2:$V$2928,MATCH(AJ226,'[2]Cross-Section Database'!$B$2:$B$2928,0),6)</f>
        <v>10.9</v>
      </c>
      <c r="AN226" s="21">
        <f>INDEX('[2]Cross-Section Database'!$C$2:$V$2928,MATCH(AJ226,'[2]Cross-Section Database'!$B$2:$B$2928,0),5)</f>
        <v>7.6</v>
      </c>
      <c r="AO226" s="21">
        <v>1410</v>
      </c>
      <c r="AP226" s="21">
        <f>INDEX('[2]Cross-Section Database'!$C$2:$V$3928,MATCH(AJ226,'[2]Cross-Section Database'!$B$2:$B$3928,0),11)</f>
        <v>213700000</v>
      </c>
      <c r="AQ226" s="24">
        <f>INDEX('[2]Cross-Section Database'!$C$2:$V$3928,MATCH(AJ226,'[2]Cross-Section Database'!$B$2:$B$3928,0),12)</f>
        <v>1096000</v>
      </c>
      <c r="AR226" s="21">
        <v>15.1</v>
      </c>
      <c r="AS226" s="21">
        <v>200</v>
      </c>
      <c r="AT226" s="21">
        <v>500</v>
      </c>
      <c r="AU226" s="21">
        <f t="shared" si="121"/>
        <v>25.099999999999994</v>
      </c>
      <c r="AV226" s="21">
        <f t="shared" si="122"/>
        <v>25.099999999999994</v>
      </c>
      <c r="AW226" s="301" t="s">
        <v>5806</v>
      </c>
      <c r="AX226" s="310" t="s">
        <v>4562</v>
      </c>
      <c r="AY226" s="310">
        <f t="shared" si="126"/>
        <v>40</v>
      </c>
      <c r="AZ226" s="310">
        <v>20</v>
      </c>
      <c r="BA226" s="310">
        <f t="shared" si="124"/>
        <v>245</v>
      </c>
      <c r="BB226" s="21">
        <v>75</v>
      </c>
      <c r="BC226" s="21">
        <f t="shared" si="127"/>
        <v>75</v>
      </c>
      <c r="BD226" s="21">
        <v>90</v>
      </c>
      <c r="BE226" s="21">
        <v>90</v>
      </c>
      <c r="BF226" s="21">
        <f t="shared" si="125"/>
        <v>260</v>
      </c>
      <c r="BG226" s="15" t="s">
        <v>6318</v>
      </c>
      <c r="BH226" s="310" t="s">
        <v>6204</v>
      </c>
      <c r="BI226" s="310" t="s">
        <v>4465</v>
      </c>
      <c r="BJ226" s="310">
        <v>2</v>
      </c>
      <c r="BK226" s="310">
        <v>6</v>
      </c>
      <c r="BL226" s="301">
        <v>120</v>
      </c>
      <c r="BM226" s="310">
        <v>1100</v>
      </c>
      <c r="BN226" s="310" t="s">
        <v>6188</v>
      </c>
      <c r="BO226" s="310">
        <v>0.9</v>
      </c>
      <c r="BP226" s="310">
        <v>105</v>
      </c>
      <c r="BQ226" s="310">
        <v>1137</v>
      </c>
      <c r="BR226" s="310">
        <v>46</v>
      </c>
      <c r="BS226" s="310" t="s">
        <v>4590</v>
      </c>
      <c r="BT226" s="301" t="s">
        <v>5855</v>
      </c>
      <c r="BU226" s="310">
        <v>7</v>
      </c>
      <c r="BV226" s="310">
        <v>1</v>
      </c>
      <c r="BW226" s="310">
        <v>19</v>
      </c>
      <c r="BX226" s="310">
        <v>100</v>
      </c>
      <c r="BY226" s="310">
        <v>75</v>
      </c>
      <c r="BZ226" s="18">
        <v>225</v>
      </c>
      <c r="CA226" s="310" t="s">
        <v>4573</v>
      </c>
      <c r="CB226" s="310" t="s">
        <v>4579</v>
      </c>
      <c r="CC226" s="21">
        <f>142*BM165/1000</f>
        <v>170.4</v>
      </c>
      <c r="CD226" s="21">
        <f>4*PI()*16^2/4</f>
        <v>804.24771931898704</v>
      </c>
      <c r="CE226" s="310">
        <v>25</v>
      </c>
      <c r="CF226" s="119">
        <v>0.01</v>
      </c>
      <c r="CG226" s="310" t="s">
        <v>6084</v>
      </c>
      <c r="CH226" s="310">
        <v>275</v>
      </c>
      <c r="CI226" s="21">
        <v>280.5</v>
      </c>
      <c r="CJ226" s="21">
        <v>410</v>
      </c>
      <c r="CK226" s="21">
        <v>467.5</v>
      </c>
      <c r="CL226" s="139">
        <f>(194000+215000)/2</f>
        <v>204500</v>
      </c>
      <c r="CM226" s="310" t="s">
        <v>6084</v>
      </c>
      <c r="CN226" s="310">
        <v>275</v>
      </c>
      <c r="CO226" s="21">
        <f>(329+312+334+310)/4</f>
        <v>321.25</v>
      </c>
      <c r="CP226" s="310">
        <v>410</v>
      </c>
      <c r="CQ226" s="21">
        <v>473.5</v>
      </c>
      <c r="CR226" s="139">
        <f>(198+194+200+196)*1000/4</f>
        <v>197000</v>
      </c>
      <c r="CS226" s="310" t="s">
        <v>6084</v>
      </c>
      <c r="CT226" s="59">
        <v>275</v>
      </c>
      <c r="CU226" s="59">
        <v>305</v>
      </c>
      <c r="CV226" s="310">
        <v>410</v>
      </c>
      <c r="CW226" s="310">
        <v>483</v>
      </c>
      <c r="CX226" s="139">
        <v>215000</v>
      </c>
      <c r="CY226" s="301" t="s">
        <v>5795</v>
      </c>
      <c r="CZ226" s="96">
        <v>45.05</v>
      </c>
      <c r="DA226" s="96">
        <v>3.85</v>
      </c>
      <c r="DB226" s="66">
        <v>33000</v>
      </c>
      <c r="DC226" s="301">
        <v>504</v>
      </c>
      <c r="DD226" s="96">
        <v>611</v>
      </c>
      <c r="DE226" s="139">
        <v>200000</v>
      </c>
      <c r="DF226" s="295">
        <v>280</v>
      </c>
      <c r="DG226" s="310">
        <v>8.8000000000000007</v>
      </c>
      <c r="DH226" s="310">
        <v>640</v>
      </c>
      <c r="DI226" s="32">
        <v>730</v>
      </c>
      <c r="DJ226" s="310">
        <v>800</v>
      </c>
      <c r="DK226" s="32">
        <v>940</v>
      </c>
      <c r="DL226" s="60">
        <v>200000</v>
      </c>
      <c r="DM226" s="40" t="s">
        <v>5842</v>
      </c>
      <c r="DN226" s="310" t="s">
        <v>4435</v>
      </c>
      <c r="DO226" s="306" t="s">
        <v>4565</v>
      </c>
    </row>
    <row r="227" spans="1:119">
      <c r="A227" s="301">
        <v>222</v>
      </c>
      <c r="B227" s="361"/>
      <c r="C227" s="361"/>
      <c r="D227" s="459"/>
      <c r="E227" s="374"/>
      <c r="F227" s="349"/>
      <c r="G227" s="369"/>
      <c r="H227" s="369"/>
      <c r="I227" s="369"/>
      <c r="J227" s="286" t="s">
        <v>4398</v>
      </c>
      <c r="K227" s="301" t="s">
        <v>6320</v>
      </c>
      <c r="L227" s="310" t="s">
        <v>5791</v>
      </c>
      <c r="M227" s="301" t="s">
        <v>4507</v>
      </c>
      <c r="N227" s="310" t="s">
        <v>4701</v>
      </c>
      <c r="O227" s="18" t="s">
        <v>4506</v>
      </c>
      <c r="P227" s="310" t="s">
        <v>4470</v>
      </c>
      <c r="Q227" s="310" t="s">
        <v>4420</v>
      </c>
      <c r="R227" s="310" t="s">
        <v>6165</v>
      </c>
      <c r="S227" s="310">
        <v>12</v>
      </c>
      <c r="T227" s="59" t="s">
        <v>4420</v>
      </c>
      <c r="U227" s="59" t="s">
        <v>5791</v>
      </c>
      <c r="V227" s="59" t="s">
        <v>4420</v>
      </c>
      <c r="W227" s="59" t="s">
        <v>5791</v>
      </c>
      <c r="X227" s="310" t="s">
        <v>4420</v>
      </c>
      <c r="Y227" s="310" t="s">
        <v>5791</v>
      </c>
      <c r="Z227" s="310" t="s">
        <v>4558</v>
      </c>
      <c r="AA227" s="18">
        <v>10</v>
      </c>
      <c r="AB227" s="223">
        <v>0</v>
      </c>
      <c r="AC227" s="18">
        <v>0</v>
      </c>
      <c r="AD227" s="301" t="s">
        <v>6321</v>
      </c>
      <c r="AE227" s="21">
        <f>INDEX('[2]Cross-Section Database'!$C$2:$V$2928,MATCH(AD227,'[2]Cross-Section Database'!$B$2:$B$2928,0),3)</f>
        <v>206.2</v>
      </c>
      <c r="AF227" s="21">
        <f>INDEX('[2]Cross-Section Database'!$C$2:$V$2928,MATCH(AD227,'[2]Cross-Section Database'!$B$2:$B$2928,0),4)</f>
        <v>204.3</v>
      </c>
      <c r="AG227" s="21">
        <f>INDEX('[2]Cross-Section Database'!$C$2:$V$2928,MATCH(AD227,'[2]Cross-Section Database'!$B$2:$B$2928,0),6)</f>
        <v>12.5</v>
      </c>
      <c r="AH227" s="21">
        <f>INDEX('[2]Cross-Section Database'!$C$2:$V$2928,MATCH(AD227,'[2]Cross-Section Database'!$B$2:$B$2928,0),5)</f>
        <v>7.9</v>
      </c>
      <c r="AI227" s="21">
        <v>1200</v>
      </c>
      <c r="AJ227" s="301" t="s">
        <v>6331</v>
      </c>
      <c r="AK227" s="21">
        <f>INDEX('[2]Cross-Section Database'!$C$2:$V$2928,MATCH(AJ227,'[2]Cross-Section Database'!$B$2:$B$2928,0),3)</f>
        <v>449.8</v>
      </c>
      <c r="AL227" s="21">
        <f>INDEX('[2]Cross-Section Database'!$C$2:$V$2928,MATCH(AJ227,'[2]Cross-Section Database'!$B$2:$B$2928,0),4)</f>
        <v>152.4</v>
      </c>
      <c r="AM227" s="21">
        <f>INDEX('[2]Cross-Section Database'!$C$2:$V$2928,MATCH(AJ227,'[2]Cross-Section Database'!$B$2:$B$2928,0),6)</f>
        <v>10.9</v>
      </c>
      <c r="AN227" s="21">
        <f>INDEX('[2]Cross-Section Database'!$C$2:$V$2928,MATCH(AJ227,'[2]Cross-Section Database'!$B$2:$B$2928,0),5)</f>
        <v>7.6</v>
      </c>
      <c r="AO227" s="21">
        <v>1410</v>
      </c>
      <c r="AP227" s="21">
        <f>INDEX('[2]Cross-Section Database'!$C$2:$V$3928,MATCH(AJ227,'[2]Cross-Section Database'!$B$2:$B$3928,0),11)</f>
        <v>213700000</v>
      </c>
      <c r="AQ227" s="24">
        <f>INDEX('[2]Cross-Section Database'!$C$2:$V$3928,MATCH(AJ227,'[2]Cross-Section Database'!$B$2:$B$3928,0),12)</f>
        <v>1096000</v>
      </c>
      <c r="AR227" s="21">
        <v>15.1</v>
      </c>
      <c r="AS227" s="21">
        <v>200</v>
      </c>
      <c r="AT227" s="21">
        <v>500</v>
      </c>
      <c r="AU227" s="21">
        <f t="shared" si="121"/>
        <v>25.099999999999994</v>
      </c>
      <c r="AV227" s="21">
        <f t="shared" si="122"/>
        <v>25.099999999999994</v>
      </c>
      <c r="AW227" s="301" t="s">
        <v>5806</v>
      </c>
      <c r="AX227" s="310" t="s">
        <v>4562</v>
      </c>
      <c r="AY227" s="310">
        <f xml:space="preserve"> 200/AZ227/0.25</f>
        <v>40</v>
      </c>
      <c r="AZ227" s="310">
        <v>20</v>
      </c>
      <c r="BA227" s="310">
        <f t="shared" si="124"/>
        <v>245</v>
      </c>
      <c r="BB227" s="310">
        <v>75</v>
      </c>
      <c r="BC227" s="310">
        <f t="shared" si="127"/>
        <v>75</v>
      </c>
      <c r="BD227" s="21">
        <v>90</v>
      </c>
      <c r="BE227" s="310">
        <v>90</v>
      </c>
      <c r="BF227" s="310">
        <f t="shared" si="125"/>
        <v>260</v>
      </c>
      <c r="BG227" s="310" t="s">
        <v>6318</v>
      </c>
      <c r="BH227" s="310" t="s">
        <v>6204</v>
      </c>
      <c r="BI227" s="310" t="s">
        <v>4465</v>
      </c>
      <c r="BJ227" s="310">
        <v>2</v>
      </c>
      <c r="BK227" s="310">
        <v>6</v>
      </c>
      <c r="BL227" s="301">
        <v>120</v>
      </c>
      <c r="BM227" s="310">
        <v>1100</v>
      </c>
      <c r="BN227" s="310" t="s">
        <v>6188</v>
      </c>
      <c r="BO227" s="310">
        <v>0.9</v>
      </c>
      <c r="BP227" s="310">
        <v>105</v>
      </c>
      <c r="BQ227" s="310">
        <v>1137</v>
      </c>
      <c r="BR227" s="310">
        <v>46</v>
      </c>
      <c r="BS227" s="310" t="s">
        <v>4590</v>
      </c>
      <c r="BT227" s="301" t="s">
        <v>5855</v>
      </c>
      <c r="BU227" s="310">
        <v>7</v>
      </c>
      <c r="BV227" s="310">
        <v>1</v>
      </c>
      <c r="BW227" s="310">
        <v>19</v>
      </c>
      <c r="BX227" s="310">
        <v>100</v>
      </c>
      <c r="BY227" s="310">
        <v>75</v>
      </c>
      <c r="BZ227" s="18">
        <v>225</v>
      </c>
      <c r="CA227" s="310" t="s">
        <v>4573</v>
      </c>
      <c r="CB227" s="310" t="s">
        <v>4580</v>
      </c>
      <c r="CC227" s="21">
        <f>142*BM165/1000</f>
        <v>170.4</v>
      </c>
      <c r="CD227" s="21">
        <f t="shared" ref="CD227" si="128">4*PI()*16^2/4</f>
        <v>804.24771931898704</v>
      </c>
      <c r="CE227" s="310">
        <v>25</v>
      </c>
      <c r="CF227" s="119">
        <v>0.01</v>
      </c>
      <c r="CG227" s="310" t="s">
        <v>6084</v>
      </c>
      <c r="CH227" s="310">
        <v>275</v>
      </c>
      <c r="CI227" s="21">
        <v>282.5</v>
      </c>
      <c r="CJ227" s="21">
        <v>410</v>
      </c>
      <c r="CK227" s="21">
        <v>467</v>
      </c>
      <c r="CL227" s="139">
        <f>(201000+199000)/2</f>
        <v>200000</v>
      </c>
      <c r="CM227" s="310" t="s">
        <v>6084</v>
      </c>
      <c r="CN227" s="310">
        <v>275</v>
      </c>
      <c r="CO227" s="21">
        <f>(331+293+329+306)/4</f>
        <v>314.75</v>
      </c>
      <c r="CP227" s="310">
        <v>410</v>
      </c>
      <c r="CQ227" s="21">
        <v>471.25</v>
      </c>
      <c r="CR227" s="139">
        <f>(199+198+197+196)*1000/4</f>
        <v>197500</v>
      </c>
      <c r="CS227" s="310" t="s">
        <v>6084</v>
      </c>
      <c r="CT227" s="59">
        <v>275</v>
      </c>
      <c r="CU227" s="59">
        <v>305</v>
      </c>
      <c r="CV227" s="310">
        <v>410</v>
      </c>
      <c r="CW227" s="310">
        <v>483</v>
      </c>
      <c r="CX227" s="139">
        <v>215000</v>
      </c>
      <c r="CY227" s="301" t="s">
        <v>5795</v>
      </c>
      <c r="CZ227" s="96">
        <v>45.75</v>
      </c>
      <c r="DA227" s="96">
        <v>3.4</v>
      </c>
      <c r="DB227" s="66">
        <v>33000</v>
      </c>
      <c r="DC227" s="301">
        <v>504</v>
      </c>
      <c r="DD227" s="96">
        <v>611</v>
      </c>
      <c r="DE227" s="139">
        <v>200000</v>
      </c>
      <c r="DF227" s="295">
        <v>280</v>
      </c>
      <c r="DG227" s="310">
        <v>8.8000000000000007</v>
      </c>
      <c r="DH227" s="310">
        <v>640</v>
      </c>
      <c r="DI227" s="32">
        <v>730</v>
      </c>
      <c r="DJ227" s="310">
        <v>800</v>
      </c>
      <c r="DK227" s="32">
        <v>940</v>
      </c>
      <c r="DL227" s="60">
        <v>200000</v>
      </c>
      <c r="DM227" s="40" t="s">
        <v>5842</v>
      </c>
      <c r="DN227" s="310" t="s">
        <v>4435</v>
      </c>
      <c r="DO227" s="306" t="s">
        <v>4565</v>
      </c>
    </row>
    <row r="228" spans="1:119">
      <c r="A228" s="301">
        <v>223</v>
      </c>
      <c r="B228" s="361"/>
      <c r="C228" s="361"/>
      <c r="D228" s="459"/>
      <c r="E228" s="374"/>
      <c r="F228" s="349"/>
      <c r="G228" s="369"/>
      <c r="H228" s="369"/>
      <c r="I228" s="369"/>
      <c r="J228" s="286" t="s">
        <v>4399</v>
      </c>
      <c r="K228" s="301" t="s">
        <v>6320</v>
      </c>
      <c r="L228" s="310" t="s">
        <v>5791</v>
      </c>
      <c r="M228" s="301" t="s">
        <v>4507</v>
      </c>
      <c r="N228" s="310" t="s">
        <v>4701</v>
      </c>
      <c r="O228" s="18" t="s">
        <v>4506</v>
      </c>
      <c r="P228" s="310" t="s">
        <v>4470</v>
      </c>
      <c r="Q228" s="310" t="s">
        <v>4420</v>
      </c>
      <c r="R228" s="310" t="s">
        <v>6165</v>
      </c>
      <c r="S228" s="310">
        <v>12</v>
      </c>
      <c r="T228" s="59" t="s">
        <v>4420</v>
      </c>
      <c r="U228" s="59" t="s">
        <v>5791</v>
      </c>
      <c r="V228" s="59" t="s">
        <v>4420</v>
      </c>
      <c r="W228" s="59" t="s">
        <v>5791</v>
      </c>
      <c r="X228" s="310" t="s">
        <v>4420</v>
      </c>
      <c r="Y228" s="310" t="s">
        <v>5791</v>
      </c>
      <c r="Z228" s="310" t="s">
        <v>4558</v>
      </c>
      <c r="AA228" s="18">
        <v>10</v>
      </c>
      <c r="AB228" s="223">
        <v>0</v>
      </c>
      <c r="AC228" s="18">
        <v>0</v>
      </c>
      <c r="AD228" s="301" t="s">
        <v>6321</v>
      </c>
      <c r="AE228" s="21">
        <f>INDEX('[2]Cross-Section Database'!$C$2:$V$2928,MATCH(AD228,'[2]Cross-Section Database'!$B$2:$B$2928,0),3)</f>
        <v>206.2</v>
      </c>
      <c r="AF228" s="21">
        <f>INDEX('[2]Cross-Section Database'!$C$2:$V$2928,MATCH(AD228,'[2]Cross-Section Database'!$B$2:$B$2928,0),4)</f>
        <v>204.3</v>
      </c>
      <c r="AG228" s="21">
        <f>INDEX('[2]Cross-Section Database'!$C$2:$V$2928,MATCH(AD228,'[2]Cross-Section Database'!$B$2:$B$2928,0),6)</f>
        <v>12.5</v>
      </c>
      <c r="AH228" s="21">
        <f>INDEX('[2]Cross-Section Database'!$C$2:$V$2928,MATCH(AD228,'[2]Cross-Section Database'!$B$2:$B$2928,0),5)</f>
        <v>7.9</v>
      </c>
      <c r="AI228" s="21">
        <v>1200</v>
      </c>
      <c r="AJ228" s="301" t="s">
        <v>4234</v>
      </c>
      <c r="AK228" s="21">
        <f>INDEX('[2]Cross-Section Database'!$C$2:$V$2928,MATCH(AJ228,'[2]Cross-Section Database'!$B$2:$B$2928,0),3)</f>
        <v>449.8</v>
      </c>
      <c r="AL228" s="21">
        <f>INDEX('[2]Cross-Section Database'!$C$2:$V$2928,MATCH(AJ228,'[2]Cross-Section Database'!$B$2:$B$2928,0),4)</f>
        <v>152.4</v>
      </c>
      <c r="AM228" s="21">
        <f>INDEX('[2]Cross-Section Database'!$C$2:$V$2928,MATCH(AJ228,'[2]Cross-Section Database'!$B$2:$B$2928,0),6)</f>
        <v>10.9</v>
      </c>
      <c r="AN228" s="21">
        <f>INDEX('[2]Cross-Section Database'!$C$2:$V$2928,MATCH(AJ228,'[2]Cross-Section Database'!$B$2:$B$2928,0),5)</f>
        <v>7.6</v>
      </c>
      <c r="AO228" s="21">
        <v>1410</v>
      </c>
      <c r="AP228" s="21">
        <f>INDEX('[2]Cross-Section Database'!$C$2:$V$3928,MATCH(AJ228,'[2]Cross-Section Database'!$B$2:$B$3928,0),11)</f>
        <v>213700000</v>
      </c>
      <c r="AQ228" s="24">
        <f>INDEX('[2]Cross-Section Database'!$C$2:$V$3928,MATCH(AJ228,'[2]Cross-Section Database'!$B$2:$B$3928,0),12)</f>
        <v>1096000</v>
      </c>
      <c r="AR228" s="21">
        <v>10.050000000000001</v>
      </c>
      <c r="AS228" s="21">
        <v>200</v>
      </c>
      <c r="AT228" s="21">
        <v>500</v>
      </c>
      <c r="AU228" s="21">
        <f t="shared" si="121"/>
        <v>25.099999999999994</v>
      </c>
      <c r="AV228" s="21">
        <f t="shared" si="122"/>
        <v>25.099999999999994</v>
      </c>
      <c r="AW228" s="301" t="s">
        <v>5806</v>
      </c>
      <c r="AX228" s="310" t="s">
        <v>4562</v>
      </c>
      <c r="AY228" s="21">
        <f t="shared" ref="AY228:AY229" si="129" xml:space="preserve"> 200/AZ228/0.25</f>
        <v>33.333333333333336</v>
      </c>
      <c r="AZ228" s="310">
        <v>24</v>
      </c>
      <c r="BA228" s="310">
        <f t="shared" si="124"/>
        <v>353</v>
      </c>
      <c r="BB228" s="310">
        <v>75</v>
      </c>
      <c r="BC228" s="310">
        <f t="shared" si="127"/>
        <v>75</v>
      </c>
      <c r="BD228" s="21">
        <v>90</v>
      </c>
      <c r="BE228" s="310">
        <v>90</v>
      </c>
      <c r="BF228" s="310">
        <f t="shared" si="125"/>
        <v>260</v>
      </c>
      <c r="BG228" s="310" t="s">
        <v>6318</v>
      </c>
      <c r="BH228" s="310" t="s">
        <v>6204</v>
      </c>
      <c r="BI228" s="310" t="s">
        <v>4465</v>
      </c>
      <c r="BJ228" s="310">
        <v>2</v>
      </c>
      <c r="BK228" s="310">
        <v>6</v>
      </c>
      <c r="BL228" s="301">
        <v>120</v>
      </c>
      <c r="BM228" s="310">
        <v>1100</v>
      </c>
      <c r="BN228" s="310" t="s">
        <v>6188</v>
      </c>
      <c r="BO228" s="310">
        <v>0.9</v>
      </c>
      <c r="BP228" s="310">
        <v>105</v>
      </c>
      <c r="BQ228" s="310">
        <v>1137</v>
      </c>
      <c r="BR228" s="310">
        <v>46</v>
      </c>
      <c r="BS228" s="310" t="s">
        <v>4590</v>
      </c>
      <c r="BT228" s="301" t="s">
        <v>5855</v>
      </c>
      <c r="BU228" s="310">
        <v>7</v>
      </c>
      <c r="BV228" s="310">
        <v>1</v>
      </c>
      <c r="BW228" s="310">
        <v>19</v>
      </c>
      <c r="BX228" s="310">
        <v>100</v>
      </c>
      <c r="BY228" s="310">
        <v>75</v>
      </c>
      <c r="BZ228" s="18">
        <v>225</v>
      </c>
      <c r="CA228" s="310" t="s">
        <v>4573</v>
      </c>
      <c r="CB228" s="310" t="s">
        <v>4580</v>
      </c>
      <c r="CC228" s="21">
        <f>142*BM165/1000</f>
        <v>170.4</v>
      </c>
      <c r="CD228" s="21">
        <f>4*PI()*16^2/4</f>
        <v>804.24771931898704</v>
      </c>
      <c r="CE228" s="310">
        <v>25</v>
      </c>
      <c r="CF228" s="119">
        <v>0.01</v>
      </c>
      <c r="CG228" s="310" t="s">
        <v>6084</v>
      </c>
      <c r="CH228" s="310">
        <v>275</v>
      </c>
      <c r="CI228" s="21">
        <v>291</v>
      </c>
      <c r="CJ228" s="21">
        <v>410</v>
      </c>
      <c r="CK228" s="21">
        <v>488</v>
      </c>
      <c r="CL228" s="139">
        <f>(192000+197000)/2</f>
        <v>194500</v>
      </c>
      <c r="CM228" s="310" t="s">
        <v>6084</v>
      </c>
      <c r="CN228" s="310">
        <v>275</v>
      </c>
      <c r="CO228" s="21">
        <f>(317+324+317+302)/4</f>
        <v>315</v>
      </c>
      <c r="CP228" s="310">
        <v>410</v>
      </c>
      <c r="CQ228" s="21">
        <v>452.75</v>
      </c>
      <c r="CR228" s="139">
        <f>(204+207+198+205)*1000/4</f>
        <v>203500</v>
      </c>
      <c r="CS228" s="310" t="s">
        <v>6084</v>
      </c>
      <c r="CT228" s="59">
        <v>275</v>
      </c>
      <c r="CU228" s="59">
        <v>350</v>
      </c>
      <c r="CV228" s="310">
        <v>410</v>
      </c>
      <c r="CW228" s="310">
        <v>509</v>
      </c>
      <c r="CX228" s="139">
        <v>201000</v>
      </c>
      <c r="CY228" s="301" t="s">
        <v>5795</v>
      </c>
      <c r="CZ228" s="96">
        <v>38.9</v>
      </c>
      <c r="DA228" s="96">
        <v>3.6</v>
      </c>
      <c r="DB228" s="66">
        <v>33000</v>
      </c>
      <c r="DC228" s="301">
        <v>504</v>
      </c>
      <c r="DD228" s="96">
        <v>611</v>
      </c>
      <c r="DE228" s="139">
        <v>200000</v>
      </c>
      <c r="DF228" s="295">
        <v>280</v>
      </c>
      <c r="DG228" s="310">
        <v>8.8000000000000007</v>
      </c>
      <c r="DH228" s="310">
        <v>640</v>
      </c>
      <c r="DI228" s="32">
        <v>730</v>
      </c>
      <c r="DJ228" s="310">
        <v>800</v>
      </c>
      <c r="DK228" s="32">
        <v>940</v>
      </c>
      <c r="DL228" s="60">
        <v>200000</v>
      </c>
      <c r="DM228" s="40" t="s">
        <v>5842</v>
      </c>
      <c r="DN228" s="310" t="s">
        <v>4435</v>
      </c>
      <c r="DO228" s="306" t="s">
        <v>4565</v>
      </c>
    </row>
    <row r="229" spans="1:119" ht="15.6" customHeight="1" thickBot="1">
      <c r="A229" s="301">
        <v>224</v>
      </c>
      <c r="B229" s="352"/>
      <c r="C229" s="352"/>
      <c r="D229" s="460"/>
      <c r="E229" s="375"/>
      <c r="F229" s="350"/>
      <c r="G229" s="370"/>
      <c r="H229" s="370"/>
      <c r="I229" s="370"/>
      <c r="J229" s="285" t="s">
        <v>4400</v>
      </c>
      <c r="K229" s="301" t="s">
        <v>6320</v>
      </c>
      <c r="L229" s="310" t="s">
        <v>5791</v>
      </c>
      <c r="M229" s="301" t="s">
        <v>4507</v>
      </c>
      <c r="N229" s="310" t="s">
        <v>4701</v>
      </c>
      <c r="O229" s="18" t="s">
        <v>4506</v>
      </c>
      <c r="P229" s="310" t="s">
        <v>4470</v>
      </c>
      <c r="Q229" s="310" t="s">
        <v>4420</v>
      </c>
      <c r="R229" s="310" t="s">
        <v>6165</v>
      </c>
      <c r="S229" s="310">
        <v>12</v>
      </c>
      <c r="T229" s="59" t="s">
        <v>4420</v>
      </c>
      <c r="U229" s="59" t="s">
        <v>5791</v>
      </c>
      <c r="V229" s="59" t="s">
        <v>4420</v>
      </c>
      <c r="W229" s="59" t="s">
        <v>5791</v>
      </c>
      <c r="X229" s="310" t="s">
        <v>4420</v>
      </c>
      <c r="Y229" s="310" t="s">
        <v>5791</v>
      </c>
      <c r="Z229" s="310" t="s">
        <v>4558</v>
      </c>
      <c r="AA229" s="18">
        <v>10</v>
      </c>
      <c r="AB229" s="228">
        <v>0</v>
      </c>
      <c r="AC229" s="14">
        <v>0</v>
      </c>
      <c r="AD229" s="308" t="s">
        <v>4347</v>
      </c>
      <c r="AE229" s="23">
        <f>INDEX('[2]Cross-Section Database'!$C$2:$V$2928,MATCH(AD229,'[2]Cross-Section Database'!$B$2:$B$2928,0),3)</f>
        <v>254.1</v>
      </c>
      <c r="AF229" s="23">
        <f>INDEX('[2]Cross-Section Database'!$C$2:$V$2928,MATCH(AD229,'[2]Cross-Section Database'!$B$2:$B$2928,0),4)</f>
        <v>254.6</v>
      </c>
      <c r="AG229" s="23">
        <f>INDEX('[2]Cross-Section Database'!$C$2:$V$2928,MATCH(AD229,'[2]Cross-Section Database'!$B$2:$B$2928,0),6)</f>
        <v>14.2</v>
      </c>
      <c r="AH229" s="23">
        <f>INDEX('[2]Cross-Section Database'!$C$2:$V$2928,MATCH(AD229,'[2]Cross-Section Database'!$B$2:$B$2928,0),5)</f>
        <v>8.6</v>
      </c>
      <c r="AI229" s="21">
        <v>1200</v>
      </c>
      <c r="AJ229" s="308" t="s">
        <v>4248</v>
      </c>
      <c r="AK229" s="23">
        <f>INDEX('[2]Cross-Section Database'!$C$2:$V$2928,MATCH(AJ229,'[2]Cross-Section Database'!$B$2:$B$2928,0),3)</f>
        <v>528.29999999999995</v>
      </c>
      <c r="AL229" s="23">
        <f>INDEX('[2]Cross-Section Database'!$C$2:$V$2928,MATCH(AJ229,'[2]Cross-Section Database'!$B$2:$B$2928,0),4)</f>
        <v>208.8</v>
      </c>
      <c r="AM229" s="23">
        <f>INDEX('[2]Cross-Section Database'!$C$2:$V$2928,MATCH(AJ229,'[2]Cross-Section Database'!$B$2:$B$2928,0),6)</f>
        <v>13.2</v>
      </c>
      <c r="AN229" s="23">
        <f>INDEX('[2]Cross-Section Database'!$C$2:$V$2928,MATCH(AJ229,'[2]Cross-Section Database'!$B$2:$B$2928,0),5)</f>
        <v>9.6</v>
      </c>
      <c r="AO229" s="23">
        <v>1410</v>
      </c>
      <c r="AP229" s="23">
        <f>INDEX('[2]Cross-Section Database'!$C$2:$V$3928,MATCH(AJ229,'[2]Cross-Section Database'!$B$2:$B$3928,0),11)</f>
        <v>475400000</v>
      </c>
      <c r="AQ229" s="25">
        <f>INDEX('[2]Cross-Section Database'!$C$2:$V$3928,MATCH(AJ229,'[2]Cross-Section Database'!$B$2:$B$3928,0),12)</f>
        <v>2059000</v>
      </c>
      <c r="AR229" s="23">
        <v>15.1</v>
      </c>
      <c r="AS229" s="23">
        <v>250</v>
      </c>
      <c r="AT229" s="23">
        <v>578</v>
      </c>
      <c r="AU229" s="23">
        <f t="shared" si="121"/>
        <v>24.850000000000023</v>
      </c>
      <c r="AV229" s="23">
        <f t="shared" si="122"/>
        <v>24.850000000000023</v>
      </c>
      <c r="AW229" s="308" t="s">
        <v>5806</v>
      </c>
      <c r="AX229" s="310" t="s">
        <v>4562</v>
      </c>
      <c r="AY229" s="21">
        <f t="shared" si="129"/>
        <v>33.333333333333336</v>
      </c>
      <c r="AZ229" s="311">
        <v>24</v>
      </c>
      <c r="BA229" s="311">
        <f t="shared" si="124"/>
        <v>353</v>
      </c>
      <c r="BB229" s="311">
        <v>80</v>
      </c>
      <c r="BC229" s="311">
        <f t="shared" si="127"/>
        <v>80</v>
      </c>
      <c r="BD229" s="23">
        <v>90</v>
      </c>
      <c r="BE229" s="311">
        <v>90</v>
      </c>
      <c r="BF229" s="311">
        <f t="shared" si="125"/>
        <v>328</v>
      </c>
      <c r="BG229" s="311" t="s">
        <v>6318</v>
      </c>
      <c r="BH229" s="311" t="s">
        <v>6204</v>
      </c>
      <c r="BI229" s="311" t="s">
        <v>4465</v>
      </c>
      <c r="BJ229" s="311">
        <v>2</v>
      </c>
      <c r="BK229" s="311">
        <v>6</v>
      </c>
      <c r="BL229" s="308">
        <v>120</v>
      </c>
      <c r="BM229" s="311">
        <v>1100</v>
      </c>
      <c r="BN229" s="311" t="s">
        <v>6188</v>
      </c>
      <c r="BO229" s="311">
        <v>0.9</v>
      </c>
      <c r="BP229" s="311">
        <v>105</v>
      </c>
      <c r="BQ229" s="311">
        <v>1137</v>
      </c>
      <c r="BR229" s="311">
        <v>46</v>
      </c>
      <c r="BS229" s="311" t="s">
        <v>4590</v>
      </c>
      <c r="BT229" s="308" t="s">
        <v>5855</v>
      </c>
      <c r="BU229" s="311">
        <v>7</v>
      </c>
      <c r="BV229" s="311">
        <v>1</v>
      </c>
      <c r="BW229" s="311">
        <v>19</v>
      </c>
      <c r="BX229" s="311">
        <v>100</v>
      </c>
      <c r="BY229" s="311">
        <v>75</v>
      </c>
      <c r="BZ229" s="14">
        <v>225</v>
      </c>
      <c r="CA229" s="311" t="s">
        <v>4573</v>
      </c>
      <c r="CB229" s="310" t="s">
        <v>4580</v>
      </c>
      <c r="CC229" s="21">
        <f>142*BM165/1000</f>
        <v>170.4</v>
      </c>
      <c r="CD229" s="21">
        <f>4*PI()*16^2/4</f>
        <v>804.24771931898704</v>
      </c>
      <c r="CE229" s="310">
        <v>25</v>
      </c>
      <c r="CF229" s="119">
        <v>0.01</v>
      </c>
      <c r="CG229" s="311" t="s">
        <v>6084</v>
      </c>
      <c r="CH229" s="311">
        <v>275</v>
      </c>
      <c r="CI229" s="23">
        <v>308</v>
      </c>
      <c r="CJ229" s="23">
        <v>410</v>
      </c>
      <c r="CK229" s="23">
        <v>454</v>
      </c>
      <c r="CL229" s="139">
        <f>(196000+222000)/2</f>
        <v>209000</v>
      </c>
      <c r="CM229" s="311" t="s">
        <v>6084</v>
      </c>
      <c r="CN229" s="311">
        <v>275</v>
      </c>
      <c r="CO229" s="23">
        <f>(385+351+389+345)/4</f>
        <v>367.5</v>
      </c>
      <c r="CP229" s="311">
        <v>410</v>
      </c>
      <c r="CQ229" s="23">
        <v>509.25</v>
      </c>
      <c r="CR229" s="139">
        <f>(202+207+200+206)*1000/4</f>
        <v>203750</v>
      </c>
      <c r="CS229" s="311" t="s">
        <v>6084</v>
      </c>
      <c r="CT229" s="86">
        <v>275</v>
      </c>
      <c r="CU229" s="86">
        <v>305</v>
      </c>
      <c r="CV229" s="311">
        <v>410</v>
      </c>
      <c r="CW229" s="311">
        <v>483</v>
      </c>
      <c r="CX229" s="139">
        <v>215000</v>
      </c>
      <c r="CY229" s="308" t="s">
        <v>5795</v>
      </c>
      <c r="CZ229" s="98">
        <v>47.95</v>
      </c>
      <c r="DA229" s="98">
        <v>3.5</v>
      </c>
      <c r="DB229" s="66">
        <v>33000</v>
      </c>
      <c r="DC229" s="308">
        <v>504</v>
      </c>
      <c r="DD229" s="98">
        <v>611</v>
      </c>
      <c r="DE229" s="139">
        <v>200000</v>
      </c>
      <c r="DF229" s="296">
        <v>280</v>
      </c>
      <c r="DG229" s="311">
        <v>8.8000000000000007</v>
      </c>
      <c r="DH229" s="311">
        <v>640</v>
      </c>
      <c r="DI229" s="34">
        <v>730</v>
      </c>
      <c r="DJ229" s="311">
        <v>800</v>
      </c>
      <c r="DK229" s="34">
        <v>940</v>
      </c>
      <c r="DL229" s="76">
        <v>200000</v>
      </c>
      <c r="DM229" s="41" t="s">
        <v>5831</v>
      </c>
      <c r="DN229" s="311" t="s">
        <v>4435</v>
      </c>
      <c r="DO229" s="307" t="s">
        <v>4565</v>
      </c>
    </row>
    <row r="230" spans="1:119" ht="15.6" customHeight="1">
      <c r="A230" s="300">
        <v>225</v>
      </c>
      <c r="B230" s="348">
        <v>32</v>
      </c>
      <c r="C230" s="348">
        <v>2001</v>
      </c>
      <c r="D230" s="348" t="s">
        <v>5975</v>
      </c>
      <c r="E230" s="348" t="s">
        <v>5983</v>
      </c>
      <c r="F230" s="348">
        <v>3</v>
      </c>
      <c r="G230" s="348" t="s">
        <v>5977</v>
      </c>
      <c r="H230" s="348" t="s">
        <v>5982</v>
      </c>
      <c r="I230" s="348" t="s">
        <v>4741</v>
      </c>
      <c r="J230" s="284" t="s">
        <v>5976</v>
      </c>
      <c r="K230" s="300" t="s">
        <v>4383</v>
      </c>
      <c r="L230" s="309" t="s">
        <v>5791</v>
      </c>
      <c r="M230" s="300" t="s">
        <v>4551</v>
      </c>
      <c r="N230" s="309" t="s">
        <v>4702</v>
      </c>
      <c r="O230" s="17" t="s">
        <v>4506</v>
      </c>
      <c r="P230" s="300" t="s">
        <v>4420</v>
      </c>
      <c r="Q230" s="309" t="s">
        <v>4420</v>
      </c>
      <c r="R230" s="309" t="s">
        <v>4420</v>
      </c>
      <c r="S230" s="309" t="s">
        <v>5791</v>
      </c>
      <c r="T230" s="64" t="s">
        <v>4420</v>
      </c>
      <c r="U230" s="64" t="s">
        <v>5791</v>
      </c>
      <c r="V230" s="64" t="s">
        <v>4420</v>
      </c>
      <c r="W230" s="64" t="s">
        <v>5791</v>
      </c>
      <c r="X230" s="309" t="s">
        <v>4420</v>
      </c>
      <c r="Y230" s="309" t="s">
        <v>5791</v>
      </c>
      <c r="Z230" s="309" t="s">
        <v>4558</v>
      </c>
      <c r="AA230" s="17">
        <v>5</v>
      </c>
      <c r="AB230" s="232">
        <v>236</v>
      </c>
      <c r="AC230" s="17" t="s">
        <v>5791</v>
      </c>
      <c r="AD230" s="194" t="s">
        <v>5791</v>
      </c>
      <c r="AE230" s="195" t="s">
        <v>5791</v>
      </c>
      <c r="AF230" s="195" t="s">
        <v>5791</v>
      </c>
      <c r="AG230" s="195" t="s">
        <v>5791</v>
      </c>
      <c r="AH230" s="195" t="s">
        <v>5791</v>
      </c>
      <c r="AI230" s="195" t="s">
        <v>5791</v>
      </c>
      <c r="AJ230" s="300" t="s">
        <v>3899</v>
      </c>
      <c r="AK230" s="16">
        <f>INDEX('[2]Cross-Section Database'!$C$2:$V$23928,MATCH(AJ230,'[2]Cross-Section Database'!$B$2:$B$3928,0),3)</f>
        <v>200</v>
      </c>
      <c r="AL230" s="16">
        <f>INDEX('[2]Cross-Section Database'!$C$2:$V$3928,MATCH(AJ230,'[2]Cross-Section Database'!$B$2:$B$3928,0),4)</f>
        <v>100</v>
      </c>
      <c r="AM230" s="16">
        <f>INDEX('[2]Cross-Section Database'!$C$2:$V$3928,MATCH(AJ230,'[2]Cross-Section Database'!$B$2:$B$3928,0),6)</f>
        <v>8.5</v>
      </c>
      <c r="AN230" s="16">
        <f>INDEX('[2]Cross-Section Database'!$C$2:$V$3928,MATCH(AJ230,'[2]Cross-Section Database'!$B$2:$B$3928,0),5)</f>
        <v>5.6</v>
      </c>
      <c r="AO230" s="244">
        <v>420</v>
      </c>
      <c r="AP230" s="16">
        <f>INDEX('[2]Cross-Section Database'!$C$2:$V$3928,MATCH(AJ230,'[2]Cross-Section Database'!$B$2:$B$3928,0),11)</f>
        <v>19430000</v>
      </c>
      <c r="AQ230" s="26">
        <f>INDEX('[2]Cross-Section Database'!$C$2:$V$3928,MATCH(AJ230,'[2]Cross-Section Database'!$B$2:$B$3928,0),12)</f>
        <v>221000</v>
      </c>
      <c r="AR230" s="44">
        <v>10.050000000000001</v>
      </c>
      <c r="AS230" s="44">
        <v>140</v>
      </c>
      <c r="AT230" s="44">
        <v>250</v>
      </c>
      <c r="AU230" s="44">
        <v>25</v>
      </c>
      <c r="AV230" s="44">
        <v>25</v>
      </c>
      <c r="AW230" s="297" t="s">
        <v>5806</v>
      </c>
      <c r="AX230" s="309" t="s">
        <v>5980</v>
      </c>
      <c r="AY230" s="16">
        <f>40/AZ230/0.25</f>
        <v>8</v>
      </c>
      <c r="AZ230" s="302">
        <v>20</v>
      </c>
      <c r="BA230" s="302">
        <f>IF(AZ230=24,353,IF(AZ230=22,303,IF(AZ230=20,245,IF(AZ230=16,157,0))))</f>
        <v>245</v>
      </c>
      <c r="BB230" s="44">
        <v>70</v>
      </c>
      <c r="BC230" s="44">
        <v>80</v>
      </c>
      <c r="BD230" s="44">
        <v>0</v>
      </c>
      <c r="BE230" s="44">
        <v>70</v>
      </c>
      <c r="BF230" s="44">
        <v>100</v>
      </c>
      <c r="BG230" s="239" t="s">
        <v>4470</v>
      </c>
      <c r="BH230" s="309" t="s">
        <v>6204</v>
      </c>
      <c r="BI230" s="309" t="s">
        <v>6204</v>
      </c>
      <c r="BJ230" s="309">
        <v>2</v>
      </c>
      <c r="BK230" s="47">
        <v>4</v>
      </c>
      <c r="BL230" s="194" t="s">
        <v>5791</v>
      </c>
      <c r="BM230" s="195" t="s">
        <v>5791</v>
      </c>
      <c r="BN230" s="195" t="s">
        <v>5791</v>
      </c>
      <c r="BO230" s="195" t="s">
        <v>5791</v>
      </c>
      <c r="BP230" s="195" t="s">
        <v>5791</v>
      </c>
      <c r="BQ230" s="195" t="s">
        <v>5791</v>
      </c>
      <c r="BR230" s="195" t="s">
        <v>5791</v>
      </c>
      <c r="BS230" s="195" t="s">
        <v>5791</v>
      </c>
      <c r="BT230" s="194" t="s">
        <v>5791</v>
      </c>
      <c r="BU230" s="195" t="s">
        <v>5791</v>
      </c>
      <c r="BV230" s="195" t="s">
        <v>5791</v>
      </c>
      <c r="BW230" s="195" t="s">
        <v>5791</v>
      </c>
      <c r="BX230" s="195" t="s">
        <v>5791</v>
      </c>
      <c r="BY230" s="195" t="s">
        <v>5791</v>
      </c>
      <c r="BZ230" s="213" t="s">
        <v>5791</v>
      </c>
      <c r="CA230" s="194" t="s">
        <v>5791</v>
      </c>
      <c r="CB230" s="195" t="s">
        <v>5791</v>
      </c>
      <c r="CC230" s="195" t="s">
        <v>5791</v>
      </c>
      <c r="CD230" s="195" t="s">
        <v>5791</v>
      </c>
      <c r="CE230" s="195" t="s">
        <v>5791</v>
      </c>
      <c r="CF230" s="213" t="s">
        <v>5791</v>
      </c>
      <c r="CG230" s="195" t="s">
        <v>5791</v>
      </c>
      <c r="CH230" s="195" t="s">
        <v>5791</v>
      </c>
      <c r="CI230" s="195" t="s">
        <v>5791</v>
      </c>
      <c r="CJ230" s="195" t="s">
        <v>5791</v>
      </c>
      <c r="CK230" s="195" t="s">
        <v>5791</v>
      </c>
      <c r="CL230" s="200" t="s">
        <v>5791</v>
      </c>
      <c r="CM230" s="105" t="s">
        <v>4449</v>
      </c>
      <c r="CN230" s="302">
        <v>235</v>
      </c>
      <c r="CO230" s="44">
        <v>333</v>
      </c>
      <c r="CP230" s="44">
        <v>360</v>
      </c>
      <c r="CQ230" s="44">
        <v>420</v>
      </c>
      <c r="CR230" s="65">
        <v>200000</v>
      </c>
      <c r="CS230" s="105" t="s">
        <v>4449</v>
      </c>
      <c r="CT230" s="302">
        <v>235</v>
      </c>
      <c r="CU230" s="44">
        <v>352</v>
      </c>
      <c r="CV230" s="44">
        <v>360</v>
      </c>
      <c r="CW230" s="44">
        <v>435</v>
      </c>
      <c r="CX230" s="65">
        <v>200000</v>
      </c>
      <c r="CY230" s="198" t="s">
        <v>5791</v>
      </c>
      <c r="CZ230" s="199" t="s">
        <v>5791</v>
      </c>
      <c r="DA230" s="199" t="s">
        <v>5791</v>
      </c>
      <c r="DB230" s="200" t="s">
        <v>5791</v>
      </c>
      <c r="DC230" s="198" t="s">
        <v>5791</v>
      </c>
      <c r="DD230" s="199" t="s">
        <v>5791</v>
      </c>
      <c r="DE230" s="200" t="s">
        <v>5791</v>
      </c>
      <c r="DF230" s="273" t="s">
        <v>5791</v>
      </c>
      <c r="DG230" s="309">
        <v>10.9</v>
      </c>
      <c r="DH230" s="309">
        <v>900</v>
      </c>
      <c r="DI230" s="30">
        <v>990</v>
      </c>
      <c r="DJ230" s="309">
        <v>1000</v>
      </c>
      <c r="DK230" s="30">
        <v>1100</v>
      </c>
      <c r="DL230" s="75">
        <v>200000</v>
      </c>
      <c r="DM230" s="240" t="s">
        <v>5981</v>
      </c>
      <c r="DN230" s="297" t="s">
        <v>4435</v>
      </c>
      <c r="DO230" s="305" t="s">
        <v>6016</v>
      </c>
    </row>
    <row r="231" spans="1:119">
      <c r="A231" s="301">
        <v>226</v>
      </c>
      <c r="B231" s="349"/>
      <c r="C231" s="349"/>
      <c r="D231" s="349"/>
      <c r="E231" s="349"/>
      <c r="F231" s="349"/>
      <c r="G231" s="349"/>
      <c r="H231" s="349"/>
      <c r="I231" s="349"/>
      <c r="J231" s="286" t="s">
        <v>5978</v>
      </c>
      <c r="K231" s="301" t="s">
        <v>4383</v>
      </c>
      <c r="L231" s="310" t="s">
        <v>5791</v>
      </c>
      <c r="M231" s="301" t="s">
        <v>4551</v>
      </c>
      <c r="N231" s="310" t="s">
        <v>4702</v>
      </c>
      <c r="O231" s="18" t="s">
        <v>4506</v>
      </c>
      <c r="P231" s="301" t="s">
        <v>4420</v>
      </c>
      <c r="Q231" s="310" t="s">
        <v>4420</v>
      </c>
      <c r="R231" s="310" t="s">
        <v>4420</v>
      </c>
      <c r="S231" s="310" t="s">
        <v>5791</v>
      </c>
      <c r="T231" s="59" t="s">
        <v>4420</v>
      </c>
      <c r="U231" s="59" t="s">
        <v>5791</v>
      </c>
      <c r="V231" s="59" t="s">
        <v>4420</v>
      </c>
      <c r="W231" s="59" t="s">
        <v>5791</v>
      </c>
      <c r="X231" s="310" t="s">
        <v>4420</v>
      </c>
      <c r="Y231" s="310" t="s">
        <v>5791</v>
      </c>
      <c r="Z231" s="310" t="s">
        <v>4558</v>
      </c>
      <c r="AA231" s="18">
        <v>5</v>
      </c>
      <c r="AB231" s="223">
        <v>166</v>
      </c>
      <c r="AC231" s="18" t="s">
        <v>5791</v>
      </c>
      <c r="AD231" s="196" t="s">
        <v>5791</v>
      </c>
      <c r="AE231" s="197" t="s">
        <v>5791</v>
      </c>
      <c r="AF231" s="197" t="s">
        <v>5791</v>
      </c>
      <c r="AG231" s="197" t="s">
        <v>5791</v>
      </c>
      <c r="AH231" s="197" t="s">
        <v>5791</v>
      </c>
      <c r="AI231" s="197" t="s">
        <v>5791</v>
      </c>
      <c r="AJ231" s="301" t="s">
        <v>3899</v>
      </c>
      <c r="AK231" s="21">
        <f>INDEX('[2]Cross-Section Database'!$C$2:$V$23928,MATCH(AJ231,'[2]Cross-Section Database'!$B$2:$B$3928,0),3)</f>
        <v>200</v>
      </c>
      <c r="AL231" s="21">
        <f>INDEX('[2]Cross-Section Database'!$C$2:$V$3928,MATCH(AJ231,'[2]Cross-Section Database'!$B$2:$B$3928,0),4)</f>
        <v>100</v>
      </c>
      <c r="AM231" s="21">
        <f>INDEX('[2]Cross-Section Database'!$C$2:$V$3928,MATCH(AJ231,'[2]Cross-Section Database'!$B$2:$B$3928,0),6)</f>
        <v>8.5</v>
      </c>
      <c r="AN231" s="21">
        <f>INDEX('[2]Cross-Section Database'!$C$2:$V$3928,MATCH(AJ231,'[2]Cross-Section Database'!$B$2:$B$3928,0),5)</f>
        <v>5.6</v>
      </c>
      <c r="AO231" s="245">
        <v>595</v>
      </c>
      <c r="AP231" s="21">
        <f>INDEX('[2]Cross-Section Database'!$C$2:$V$3928,MATCH(AJ231,'[2]Cross-Section Database'!$B$2:$B$3928,0),11)</f>
        <v>19430000</v>
      </c>
      <c r="AQ231" s="24">
        <f>INDEX('[2]Cross-Section Database'!$C$2:$V$3928,MATCH(AJ231,'[2]Cross-Section Database'!$B$2:$B$3928,0),12)</f>
        <v>221000</v>
      </c>
      <c r="AR231" s="45">
        <v>10.050000000000001</v>
      </c>
      <c r="AS231" s="45">
        <v>140</v>
      </c>
      <c r="AT231" s="45">
        <v>250</v>
      </c>
      <c r="AU231" s="45">
        <v>25</v>
      </c>
      <c r="AV231" s="45">
        <v>25</v>
      </c>
      <c r="AW231" s="298" t="s">
        <v>5806</v>
      </c>
      <c r="AX231" s="310" t="s">
        <v>5980</v>
      </c>
      <c r="AY231" s="303">
        <f t="shared" ref="AY231:AY232" si="130">40/AZ231/0.25</f>
        <v>8</v>
      </c>
      <c r="AZ231" s="303">
        <v>20</v>
      </c>
      <c r="BA231" s="303">
        <f>IF(AZ231=24,353,IF(AZ231=22,303,IF(AZ231=20,245,IF(AZ231=16,157,0))))</f>
        <v>245</v>
      </c>
      <c r="BB231" s="45">
        <v>70</v>
      </c>
      <c r="BC231" s="45">
        <v>80</v>
      </c>
      <c r="BD231" s="45">
        <v>0</v>
      </c>
      <c r="BE231" s="45">
        <v>70</v>
      </c>
      <c r="BF231" s="45">
        <v>100</v>
      </c>
      <c r="BG231" s="233" t="s">
        <v>4470</v>
      </c>
      <c r="BH231" s="310" t="s">
        <v>6204</v>
      </c>
      <c r="BI231" s="310" t="s">
        <v>6204</v>
      </c>
      <c r="BJ231" s="310">
        <v>2</v>
      </c>
      <c r="BK231" s="48">
        <v>4</v>
      </c>
      <c r="BL231" s="196" t="s">
        <v>5791</v>
      </c>
      <c r="BM231" s="197" t="s">
        <v>5791</v>
      </c>
      <c r="BN231" s="197" t="s">
        <v>5791</v>
      </c>
      <c r="BO231" s="197" t="s">
        <v>5791</v>
      </c>
      <c r="BP231" s="197" t="s">
        <v>5791</v>
      </c>
      <c r="BQ231" s="197" t="s">
        <v>5791</v>
      </c>
      <c r="BR231" s="197" t="s">
        <v>5791</v>
      </c>
      <c r="BS231" s="197" t="s">
        <v>5791</v>
      </c>
      <c r="BT231" s="196" t="s">
        <v>5791</v>
      </c>
      <c r="BU231" s="197" t="s">
        <v>5791</v>
      </c>
      <c r="BV231" s="197" t="s">
        <v>5791</v>
      </c>
      <c r="BW231" s="197" t="s">
        <v>5791</v>
      </c>
      <c r="BX231" s="197" t="s">
        <v>5791</v>
      </c>
      <c r="BY231" s="197" t="s">
        <v>5791</v>
      </c>
      <c r="BZ231" s="212" t="s">
        <v>5791</v>
      </c>
      <c r="CA231" s="196" t="s">
        <v>5791</v>
      </c>
      <c r="CB231" s="197" t="s">
        <v>5791</v>
      </c>
      <c r="CC231" s="197" t="s">
        <v>5791</v>
      </c>
      <c r="CD231" s="197" t="s">
        <v>5791</v>
      </c>
      <c r="CE231" s="197" t="s">
        <v>5791</v>
      </c>
      <c r="CF231" s="212" t="s">
        <v>5791</v>
      </c>
      <c r="CG231" s="197" t="s">
        <v>5791</v>
      </c>
      <c r="CH231" s="197" t="s">
        <v>5791</v>
      </c>
      <c r="CI231" s="197" t="s">
        <v>5791</v>
      </c>
      <c r="CJ231" s="197" t="s">
        <v>5791</v>
      </c>
      <c r="CK231" s="197" t="s">
        <v>5791</v>
      </c>
      <c r="CL231" s="203" t="s">
        <v>5791</v>
      </c>
      <c r="CM231" s="106" t="s">
        <v>4449</v>
      </c>
      <c r="CN231" s="303">
        <v>235</v>
      </c>
      <c r="CO231" s="45">
        <v>333</v>
      </c>
      <c r="CP231" s="45">
        <v>360</v>
      </c>
      <c r="CQ231" s="45">
        <v>420</v>
      </c>
      <c r="CR231" s="66">
        <v>200000</v>
      </c>
      <c r="CS231" s="106" t="s">
        <v>4449</v>
      </c>
      <c r="CT231" s="303">
        <v>235</v>
      </c>
      <c r="CU231" s="45">
        <v>313</v>
      </c>
      <c r="CV231" s="45">
        <v>360</v>
      </c>
      <c r="CW231" s="45">
        <v>417</v>
      </c>
      <c r="CX231" s="66">
        <v>200000</v>
      </c>
      <c r="CY231" s="201" t="s">
        <v>5791</v>
      </c>
      <c r="CZ231" s="202" t="s">
        <v>5791</v>
      </c>
      <c r="DA231" s="202" t="s">
        <v>5791</v>
      </c>
      <c r="DB231" s="203" t="s">
        <v>5791</v>
      </c>
      <c r="DC231" s="201" t="s">
        <v>5791</v>
      </c>
      <c r="DD231" s="202" t="s">
        <v>5791</v>
      </c>
      <c r="DE231" s="203" t="s">
        <v>5791</v>
      </c>
      <c r="DF231" s="274" t="s">
        <v>5791</v>
      </c>
      <c r="DG231" s="303">
        <v>10.9</v>
      </c>
      <c r="DH231" s="303">
        <v>900</v>
      </c>
      <c r="DI231" s="32">
        <v>990</v>
      </c>
      <c r="DJ231" s="10">
        <v>1000</v>
      </c>
      <c r="DK231" s="32">
        <v>1100</v>
      </c>
      <c r="DL231" s="60">
        <v>200000</v>
      </c>
      <c r="DM231" s="234" t="s">
        <v>5981</v>
      </c>
      <c r="DN231" s="298" t="s">
        <v>4435</v>
      </c>
      <c r="DO231" s="306" t="s">
        <v>6016</v>
      </c>
    </row>
    <row r="232" spans="1:119" ht="15.6" customHeight="1" thickBot="1">
      <c r="A232" s="308">
        <v>227</v>
      </c>
      <c r="B232" s="350"/>
      <c r="C232" s="350"/>
      <c r="D232" s="350"/>
      <c r="E232" s="350"/>
      <c r="F232" s="350"/>
      <c r="G232" s="350"/>
      <c r="H232" s="350"/>
      <c r="I232" s="350"/>
      <c r="J232" s="285" t="s">
        <v>5979</v>
      </c>
      <c r="K232" s="308" t="s">
        <v>4383</v>
      </c>
      <c r="L232" s="311" t="s">
        <v>5791</v>
      </c>
      <c r="M232" s="308" t="s">
        <v>4551</v>
      </c>
      <c r="N232" s="304" t="s">
        <v>4702</v>
      </c>
      <c r="O232" s="14" t="s">
        <v>4506</v>
      </c>
      <c r="P232" s="308" t="s">
        <v>4420</v>
      </c>
      <c r="Q232" s="311" t="s">
        <v>4420</v>
      </c>
      <c r="R232" s="311" t="s">
        <v>4420</v>
      </c>
      <c r="S232" s="311" t="s">
        <v>5791</v>
      </c>
      <c r="T232" s="86" t="s">
        <v>4420</v>
      </c>
      <c r="U232" s="86" t="s">
        <v>5791</v>
      </c>
      <c r="V232" s="86" t="s">
        <v>4420</v>
      </c>
      <c r="W232" s="86" t="s">
        <v>5791</v>
      </c>
      <c r="X232" s="311" t="s">
        <v>4420</v>
      </c>
      <c r="Y232" s="311" t="s">
        <v>5791</v>
      </c>
      <c r="Z232" s="311" t="s">
        <v>4558</v>
      </c>
      <c r="AA232" s="14">
        <v>5</v>
      </c>
      <c r="AB232" s="228">
        <v>97</v>
      </c>
      <c r="AC232" s="14" t="s">
        <v>5791</v>
      </c>
      <c r="AD232" s="191" t="s">
        <v>5791</v>
      </c>
      <c r="AE232" s="192" t="s">
        <v>5791</v>
      </c>
      <c r="AF232" s="192" t="s">
        <v>5791</v>
      </c>
      <c r="AG232" s="192" t="s">
        <v>5791</v>
      </c>
      <c r="AH232" s="192" t="s">
        <v>5791</v>
      </c>
      <c r="AI232" s="192" t="s">
        <v>5791</v>
      </c>
      <c r="AJ232" s="308" t="s">
        <v>3899</v>
      </c>
      <c r="AK232" s="23">
        <f>INDEX('[2]Cross-Section Database'!$C$2:$V$23928,MATCH(AJ232,'[2]Cross-Section Database'!$B$2:$B$3928,0),3)</f>
        <v>200</v>
      </c>
      <c r="AL232" s="23">
        <f>INDEX('[2]Cross-Section Database'!$C$2:$V$3928,MATCH(AJ232,'[2]Cross-Section Database'!$B$2:$B$3928,0),4)</f>
        <v>100</v>
      </c>
      <c r="AM232" s="23">
        <f>INDEX('[2]Cross-Section Database'!$C$2:$V$3928,MATCH(AJ232,'[2]Cross-Section Database'!$B$2:$B$3928,0),6)</f>
        <v>8.5</v>
      </c>
      <c r="AN232" s="23">
        <f>INDEX('[2]Cross-Section Database'!$C$2:$V$3928,MATCH(AJ232,'[2]Cross-Section Database'!$B$2:$B$3928,0),5)</f>
        <v>5.6</v>
      </c>
      <c r="AO232" s="246">
        <v>885</v>
      </c>
      <c r="AP232" s="23">
        <f>INDEX('[2]Cross-Section Database'!$C$2:$V$3928,MATCH(AJ232,'[2]Cross-Section Database'!$B$2:$B$3928,0),11)</f>
        <v>19430000</v>
      </c>
      <c r="AQ232" s="25">
        <f>INDEX('[2]Cross-Section Database'!$C$2:$V$3928,MATCH(AJ232,'[2]Cross-Section Database'!$B$2:$B$3928,0),12)</f>
        <v>221000</v>
      </c>
      <c r="AR232" s="55">
        <v>10.050000000000001</v>
      </c>
      <c r="AS232" s="55">
        <v>140</v>
      </c>
      <c r="AT232" s="55">
        <v>250</v>
      </c>
      <c r="AU232" s="55">
        <v>25</v>
      </c>
      <c r="AV232" s="55">
        <v>25</v>
      </c>
      <c r="AW232" s="299" t="s">
        <v>5806</v>
      </c>
      <c r="AX232" s="311" t="s">
        <v>5980</v>
      </c>
      <c r="AY232" s="311">
        <f t="shared" si="130"/>
        <v>8</v>
      </c>
      <c r="AZ232" s="304">
        <v>20</v>
      </c>
      <c r="BA232" s="304">
        <f t="shared" ref="BA232" si="131">IF(AZ232=24,353,IF(AZ232=22,303,IF(AZ232=20,245,IF(AZ232=16,157,0))))</f>
        <v>245</v>
      </c>
      <c r="BB232" s="55">
        <v>70</v>
      </c>
      <c r="BC232" s="55">
        <v>80</v>
      </c>
      <c r="BD232" s="55">
        <v>0</v>
      </c>
      <c r="BE232" s="55">
        <v>70</v>
      </c>
      <c r="BF232" s="55">
        <v>100</v>
      </c>
      <c r="BG232" s="235" t="s">
        <v>4470</v>
      </c>
      <c r="BH232" s="311" t="s">
        <v>6204</v>
      </c>
      <c r="BI232" s="311" t="s">
        <v>6204</v>
      </c>
      <c r="BJ232" s="311">
        <v>2</v>
      </c>
      <c r="BK232" s="49">
        <v>4</v>
      </c>
      <c r="BL232" s="191" t="s">
        <v>5791</v>
      </c>
      <c r="BM232" s="192" t="s">
        <v>5791</v>
      </c>
      <c r="BN232" s="192" t="s">
        <v>5791</v>
      </c>
      <c r="BO232" s="192" t="s">
        <v>5791</v>
      </c>
      <c r="BP232" s="192" t="s">
        <v>5791</v>
      </c>
      <c r="BQ232" s="192" t="s">
        <v>5791</v>
      </c>
      <c r="BR232" s="192" t="s">
        <v>5791</v>
      </c>
      <c r="BS232" s="192" t="s">
        <v>5791</v>
      </c>
      <c r="BT232" s="191" t="s">
        <v>5791</v>
      </c>
      <c r="BU232" s="192" t="s">
        <v>5791</v>
      </c>
      <c r="BV232" s="192" t="s">
        <v>5791</v>
      </c>
      <c r="BW232" s="192" t="s">
        <v>5791</v>
      </c>
      <c r="BX232" s="192" t="s">
        <v>5791</v>
      </c>
      <c r="BY232" s="192" t="s">
        <v>5791</v>
      </c>
      <c r="BZ232" s="214" t="s">
        <v>5791</v>
      </c>
      <c r="CA232" s="191" t="s">
        <v>5791</v>
      </c>
      <c r="CB232" s="192" t="s">
        <v>5791</v>
      </c>
      <c r="CC232" s="192" t="s">
        <v>5791</v>
      </c>
      <c r="CD232" s="192" t="s">
        <v>5791</v>
      </c>
      <c r="CE232" s="192" t="s">
        <v>5791</v>
      </c>
      <c r="CF232" s="214" t="s">
        <v>5791</v>
      </c>
      <c r="CG232" s="192" t="s">
        <v>5791</v>
      </c>
      <c r="CH232" s="192" t="s">
        <v>5791</v>
      </c>
      <c r="CI232" s="192" t="s">
        <v>5791</v>
      </c>
      <c r="CJ232" s="192" t="s">
        <v>5791</v>
      </c>
      <c r="CK232" s="192" t="s">
        <v>5791</v>
      </c>
      <c r="CL232" s="206" t="s">
        <v>5791</v>
      </c>
      <c r="CM232" s="130" t="s">
        <v>4449</v>
      </c>
      <c r="CN232" s="304">
        <v>235</v>
      </c>
      <c r="CO232" s="55">
        <v>333</v>
      </c>
      <c r="CP232" s="55">
        <v>360</v>
      </c>
      <c r="CQ232" s="55">
        <v>420</v>
      </c>
      <c r="CR232" s="69">
        <v>200000</v>
      </c>
      <c r="CS232" s="130" t="s">
        <v>4449</v>
      </c>
      <c r="CT232" s="304">
        <v>235</v>
      </c>
      <c r="CU232" s="55">
        <v>336</v>
      </c>
      <c r="CV232" s="55">
        <v>360</v>
      </c>
      <c r="CW232" s="55">
        <v>424</v>
      </c>
      <c r="CX232" s="69">
        <v>200000</v>
      </c>
      <c r="CY232" s="204" t="s">
        <v>5791</v>
      </c>
      <c r="CZ232" s="205" t="s">
        <v>5791</v>
      </c>
      <c r="DA232" s="205" t="s">
        <v>5791</v>
      </c>
      <c r="DB232" s="206" t="s">
        <v>5791</v>
      </c>
      <c r="DC232" s="204" t="s">
        <v>5791</v>
      </c>
      <c r="DD232" s="205" t="s">
        <v>5791</v>
      </c>
      <c r="DE232" s="206" t="s">
        <v>5791</v>
      </c>
      <c r="DF232" s="275" t="s">
        <v>5791</v>
      </c>
      <c r="DG232" s="311">
        <v>10.9</v>
      </c>
      <c r="DH232" s="311">
        <v>900</v>
      </c>
      <c r="DI232" s="34">
        <v>990</v>
      </c>
      <c r="DJ232" s="13">
        <v>1000</v>
      </c>
      <c r="DK232" s="34">
        <v>1100</v>
      </c>
      <c r="DL232" s="76">
        <v>200000</v>
      </c>
      <c r="DM232" s="241" t="s">
        <v>5981</v>
      </c>
      <c r="DN232" s="299" t="s">
        <v>4435</v>
      </c>
      <c r="DO232" s="307" t="s">
        <v>6016</v>
      </c>
    </row>
    <row r="233" spans="1:119" ht="15.6" customHeight="1">
      <c r="A233" s="300">
        <v>228</v>
      </c>
      <c r="B233" s="348">
        <v>33</v>
      </c>
      <c r="C233" s="348">
        <v>2002</v>
      </c>
      <c r="D233" s="458" t="s">
        <v>4677</v>
      </c>
      <c r="E233" s="373" t="s">
        <v>4871</v>
      </c>
      <c r="F233" s="348">
        <v>16</v>
      </c>
      <c r="G233" s="368" t="s">
        <v>5915</v>
      </c>
      <c r="H233" s="368" t="s">
        <v>5914</v>
      </c>
      <c r="I233" s="368" t="s">
        <v>6239</v>
      </c>
      <c r="J233" s="284" t="s">
        <v>5937</v>
      </c>
      <c r="K233" s="300" t="s">
        <v>6324</v>
      </c>
      <c r="L233" s="309" t="s">
        <v>6059</v>
      </c>
      <c r="M233" s="300" t="s">
        <v>4508</v>
      </c>
      <c r="N233" s="309" t="s">
        <v>4702</v>
      </c>
      <c r="O233" s="17" t="s">
        <v>4506</v>
      </c>
      <c r="P233" s="309" t="s">
        <v>6317</v>
      </c>
      <c r="Q233" s="309" t="s">
        <v>4420</v>
      </c>
      <c r="R233" s="309" t="s">
        <v>4420</v>
      </c>
      <c r="S233" s="309" t="s">
        <v>5791</v>
      </c>
      <c r="T233" s="64" t="s">
        <v>4420</v>
      </c>
      <c r="U233" s="64" t="s">
        <v>5791</v>
      </c>
      <c r="V233" s="64" t="s">
        <v>4420</v>
      </c>
      <c r="W233" s="64" t="s">
        <v>5791</v>
      </c>
      <c r="X233" s="309" t="s">
        <v>4420</v>
      </c>
      <c r="Y233" s="309" t="s">
        <v>5791</v>
      </c>
      <c r="Z233" s="309" t="s">
        <v>4558</v>
      </c>
      <c r="AA233" s="17">
        <v>8</v>
      </c>
      <c r="AB233" s="223">
        <v>0</v>
      </c>
      <c r="AC233" s="18">
        <v>0</v>
      </c>
      <c r="AD233" s="300" t="s">
        <v>6334</v>
      </c>
      <c r="AE233" s="16">
        <f>INDEX('[2]Cross-Section Database'!$C$2:$V$2928,MATCH(AD233,'[2]Cross-Section Database'!$B$2:$B$2928,0),3)</f>
        <v>222.2</v>
      </c>
      <c r="AF233" s="16">
        <f>INDEX('[2]Cross-Section Database'!$C$2:$V$2928,MATCH(AD233,'[2]Cross-Section Database'!$B$2:$B$2928,0),4)</f>
        <v>209.1</v>
      </c>
      <c r="AG233" s="16">
        <f>INDEX('[2]Cross-Section Database'!$C$2:$V$2928,MATCH(AD233,'[2]Cross-Section Database'!$B$2:$B$2928,0),6)</f>
        <v>20.5</v>
      </c>
      <c r="AH233" s="16">
        <f>INDEX('[2]Cross-Section Database'!$C$2:$V$2928,MATCH(AD233,'[2]Cross-Section Database'!$B$2:$B$2928,0),5)</f>
        <v>12.7</v>
      </c>
      <c r="AI233" s="16">
        <v>1000</v>
      </c>
      <c r="AJ233" s="300" t="s">
        <v>6335</v>
      </c>
      <c r="AK233" s="16">
        <f>INDEX('[2]Cross-Section Database'!$C$2:$V$2928,MATCH(AJ233,'[2]Cross-Section Database'!$B$2:$B$2928,0),3)</f>
        <v>254</v>
      </c>
      <c r="AL233" s="16">
        <f>INDEX('[2]Cross-Section Database'!$C$2:$V$2928,MATCH(AJ233,'[2]Cross-Section Database'!$B$2:$B$2928,0),4)</f>
        <v>101.6</v>
      </c>
      <c r="AM233" s="16">
        <f>INDEX('[2]Cross-Section Database'!$C$2:$V$2928,MATCH(AJ233,'[2]Cross-Section Database'!$B$2:$B$2928,0),6)</f>
        <v>6.8</v>
      </c>
      <c r="AN233" s="16">
        <f>INDEX('[2]Cross-Section Database'!$C$2:$V$2928,MATCH(AJ233,'[2]Cross-Section Database'!$B$2:$B$2928,0),5)</f>
        <v>5.7</v>
      </c>
      <c r="AO233" s="16">
        <v>1000</v>
      </c>
      <c r="AP233" s="16">
        <f>INDEX('[2]Cross-Section Database'!$C$2:$V$3928,MATCH(AJ233,'[2]Cross-Section Database'!$B$2:$B$3928,0),11)</f>
        <v>28410000</v>
      </c>
      <c r="AQ233" s="26">
        <f>INDEX('[2]Cross-Section Database'!$C$2:$V$3928,MATCH(AJ233,'[2]Cross-Section Database'!$B$2:$B$3928,0),12)</f>
        <v>259000</v>
      </c>
      <c r="AR233" s="16">
        <v>8</v>
      </c>
      <c r="AS233" s="16">
        <v>200</v>
      </c>
      <c r="AT233" s="16">
        <v>275</v>
      </c>
      <c r="AU233" s="16">
        <f t="shared" si="121"/>
        <v>10.5</v>
      </c>
      <c r="AV233" s="16">
        <f t="shared" si="122"/>
        <v>10.5</v>
      </c>
      <c r="AW233" s="300" t="s">
        <v>5806</v>
      </c>
      <c r="AX233" s="310" t="s">
        <v>4715</v>
      </c>
      <c r="AY233" s="1">
        <f xml:space="preserve"> 50/AZ233/0.25</f>
        <v>10</v>
      </c>
      <c r="AZ233" s="309">
        <v>20</v>
      </c>
      <c r="BA233" s="309">
        <f t="shared" si="124"/>
        <v>245</v>
      </c>
      <c r="BB233" s="16">
        <f t="shared" ref="BB233:BB248" si="132">60-AV233-AM233/2</f>
        <v>46.1</v>
      </c>
      <c r="BC233" s="16">
        <f t="shared" si="127"/>
        <v>46.1</v>
      </c>
      <c r="BD233" s="16">
        <v>0</v>
      </c>
      <c r="BE233" s="16">
        <v>90</v>
      </c>
      <c r="BF233" s="16">
        <f t="shared" si="125"/>
        <v>182.8</v>
      </c>
      <c r="BG233" s="22" t="s">
        <v>6318</v>
      </c>
      <c r="BH233" s="309" t="s">
        <v>6204</v>
      </c>
      <c r="BI233" s="309" t="s">
        <v>6204</v>
      </c>
      <c r="BJ233" s="309">
        <v>2</v>
      </c>
      <c r="BK233" s="309">
        <v>4</v>
      </c>
      <c r="BL233" s="194" t="s">
        <v>5791</v>
      </c>
      <c r="BM233" s="195" t="s">
        <v>5791</v>
      </c>
      <c r="BN233" s="195" t="s">
        <v>5791</v>
      </c>
      <c r="BO233" s="195" t="s">
        <v>5791</v>
      </c>
      <c r="BP233" s="195" t="s">
        <v>5791</v>
      </c>
      <c r="BQ233" s="195" t="s">
        <v>5791</v>
      </c>
      <c r="BR233" s="195" t="s">
        <v>5791</v>
      </c>
      <c r="BS233" s="195" t="s">
        <v>5791</v>
      </c>
      <c r="BT233" s="194" t="s">
        <v>5791</v>
      </c>
      <c r="BU233" s="195" t="s">
        <v>5791</v>
      </c>
      <c r="BV233" s="195" t="s">
        <v>5791</v>
      </c>
      <c r="BW233" s="195" t="s">
        <v>5791</v>
      </c>
      <c r="BX233" s="195" t="s">
        <v>5791</v>
      </c>
      <c r="BY233" s="195" t="s">
        <v>5791</v>
      </c>
      <c r="BZ233" s="213" t="s">
        <v>5791</v>
      </c>
      <c r="CA233" s="195" t="s">
        <v>5791</v>
      </c>
      <c r="CB233" s="195" t="s">
        <v>5791</v>
      </c>
      <c r="CC233" s="195" t="s">
        <v>5791</v>
      </c>
      <c r="CD233" s="195" t="s">
        <v>5791</v>
      </c>
      <c r="CE233" s="195" t="s">
        <v>5791</v>
      </c>
      <c r="CF233" s="213" t="s">
        <v>5791</v>
      </c>
      <c r="CG233" s="64" t="s">
        <v>5664</v>
      </c>
      <c r="CH233" s="64">
        <v>275</v>
      </c>
      <c r="CI233" s="31">
        <f>CI234</f>
        <v>283.14666666666665</v>
      </c>
      <c r="CJ233" s="64">
        <v>430</v>
      </c>
      <c r="CK233" s="31">
        <f>CK235</f>
        <v>468.12666666666672</v>
      </c>
      <c r="CL233" s="65">
        <v>200000</v>
      </c>
      <c r="CM233" s="64" t="s">
        <v>5664</v>
      </c>
      <c r="CN233" s="64">
        <v>275</v>
      </c>
      <c r="CO233" s="31">
        <f>CO235</f>
        <v>270.48333333333335</v>
      </c>
      <c r="CP233" s="64">
        <v>430</v>
      </c>
      <c r="CQ233" s="31">
        <f>CQ235</f>
        <v>410.1466666666667</v>
      </c>
      <c r="CR233" s="65">
        <v>200000</v>
      </c>
      <c r="CS233" s="64" t="s">
        <v>5664</v>
      </c>
      <c r="CT233" s="64">
        <v>275</v>
      </c>
      <c r="CU233" s="31">
        <f>CU235</f>
        <v>321.61500000000001</v>
      </c>
      <c r="CV233" s="64">
        <v>430</v>
      </c>
      <c r="CW233" s="31">
        <f>CW235</f>
        <v>439.435</v>
      </c>
      <c r="CX233" s="75">
        <v>200000</v>
      </c>
      <c r="CY233" s="198" t="s">
        <v>5791</v>
      </c>
      <c r="CZ233" s="199" t="s">
        <v>5791</v>
      </c>
      <c r="DA233" s="199" t="s">
        <v>5791</v>
      </c>
      <c r="DB233" s="200" t="s">
        <v>5791</v>
      </c>
      <c r="DC233" s="198" t="s">
        <v>5791</v>
      </c>
      <c r="DD233" s="199" t="s">
        <v>5791</v>
      </c>
      <c r="DE233" s="200" t="s">
        <v>5791</v>
      </c>
      <c r="DF233" s="273" t="s">
        <v>5791</v>
      </c>
      <c r="DG233" s="309">
        <v>8.8000000000000007</v>
      </c>
      <c r="DH233" s="309">
        <v>640</v>
      </c>
      <c r="DI233" s="64">
        <v>604</v>
      </c>
      <c r="DJ233" s="64">
        <v>800</v>
      </c>
      <c r="DK233" s="64">
        <v>749</v>
      </c>
      <c r="DL233" s="75">
        <v>200000</v>
      </c>
      <c r="DM233" s="28" t="s">
        <v>5838</v>
      </c>
      <c r="DN233" s="300" t="s">
        <v>4435</v>
      </c>
      <c r="DO233" s="305" t="s">
        <v>4565</v>
      </c>
    </row>
    <row r="234" spans="1:119">
      <c r="A234" s="301">
        <v>229</v>
      </c>
      <c r="B234" s="349"/>
      <c r="C234" s="349"/>
      <c r="D234" s="459"/>
      <c r="E234" s="374"/>
      <c r="F234" s="349"/>
      <c r="G234" s="369"/>
      <c r="H234" s="369"/>
      <c r="I234" s="369"/>
      <c r="J234" s="286" t="s">
        <v>5938</v>
      </c>
      <c r="K234" s="301" t="s">
        <v>6324</v>
      </c>
      <c r="L234" s="310" t="s">
        <v>6059</v>
      </c>
      <c r="M234" s="301" t="s">
        <v>4508</v>
      </c>
      <c r="N234" s="310" t="s">
        <v>4702</v>
      </c>
      <c r="O234" s="18" t="s">
        <v>4506</v>
      </c>
      <c r="P234" s="310" t="s">
        <v>6317</v>
      </c>
      <c r="Q234" s="310" t="s">
        <v>4420</v>
      </c>
      <c r="R234" s="310" t="s">
        <v>4420</v>
      </c>
      <c r="S234" s="310" t="s">
        <v>5791</v>
      </c>
      <c r="T234" s="59" t="s">
        <v>4420</v>
      </c>
      <c r="U234" s="59" t="s">
        <v>5791</v>
      </c>
      <c r="V234" s="59" t="s">
        <v>4420</v>
      </c>
      <c r="W234" s="59" t="s">
        <v>5791</v>
      </c>
      <c r="X234" s="310" t="s">
        <v>4420</v>
      </c>
      <c r="Y234" s="310" t="s">
        <v>5791</v>
      </c>
      <c r="Z234" s="310" t="s">
        <v>4558</v>
      </c>
      <c r="AA234" s="18">
        <v>8</v>
      </c>
      <c r="AB234" s="223">
        <v>0</v>
      </c>
      <c r="AC234" s="18">
        <v>0</v>
      </c>
      <c r="AD234" s="301" t="s">
        <v>6334</v>
      </c>
      <c r="AE234" s="21">
        <f>INDEX('[2]Cross-Section Database'!$C$2:$V$2928,MATCH(AD234,'[2]Cross-Section Database'!$B$2:$B$2928,0),3)</f>
        <v>222.2</v>
      </c>
      <c r="AF234" s="21">
        <f>INDEX('[2]Cross-Section Database'!$C$2:$V$2928,MATCH(AD234,'[2]Cross-Section Database'!$B$2:$B$2928,0),4)</f>
        <v>209.1</v>
      </c>
      <c r="AG234" s="21">
        <f>INDEX('[2]Cross-Section Database'!$C$2:$V$2928,MATCH(AD234,'[2]Cross-Section Database'!$B$2:$B$2928,0),6)</f>
        <v>20.5</v>
      </c>
      <c r="AH234" s="21">
        <f>INDEX('[2]Cross-Section Database'!$C$2:$V$2928,MATCH(AD234,'[2]Cross-Section Database'!$B$2:$B$2928,0),5)</f>
        <v>12.7</v>
      </c>
      <c r="AI234" s="21">
        <v>1000</v>
      </c>
      <c r="AJ234" s="301" t="s">
        <v>6335</v>
      </c>
      <c r="AK234" s="21">
        <f>INDEX('[2]Cross-Section Database'!$C$2:$V$2928,MATCH(AJ234,'[2]Cross-Section Database'!$B$2:$B$2928,0),3)</f>
        <v>254</v>
      </c>
      <c r="AL234" s="21">
        <f>INDEX('[2]Cross-Section Database'!$C$2:$V$2928,MATCH(AJ234,'[2]Cross-Section Database'!$B$2:$B$2928,0),4)</f>
        <v>101.6</v>
      </c>
      <c r="AM234" s="21">
        <f>INDEX('[2]Cross-Section Database'!$C$2:$V$2928,MATCH(AJ234,'[2]Cross-Section Database'!$B$2:$B$2928,0),6)</f>
        <v>6.8</v>
      </c>
      <c r="AN234" s="21">
        <f>INDEX('[2]Cross-Section Database'!$C$2:$V$2928,MATCH(AJ234,'[2]Cross-Section Database'!$B$2:$B$2928,0),5)</f>
        <v>5.7</v>
      </c>
      <c r="AO234" s="21">
        <v>1000</v>
      </c>
      <c r="AP234" s="21">
        <f>INDEX('[2]Cross-Section Database'!$C$2:$V$3928,MATCH(AJ234,'[2]Cross-Section Database'!$B$2:$B$3928,0),11)</f>
        <v>28410000</v>
      </c>
      <c r="AQ234" s="24">
        <f>INDEX('[2]Cross-Section Database'!$C$2:$V$3928,MATCH(AJ234,'[2]Cross-Section Database'!$B$2:$B$3928,0),12)</f>
        <v>259000</v>
      </c>
      <c r="AR234" s="21">
        <v>12</v>
      </c>
      <c r="AS234" s="21">
        <v>200</v>
      </c>
      <c r="AT234" s="21">
        <v>275</v>
      </c>
      <c r="AU234" s="21">
        <f t="shared" si="121"/>
        <v>10.5</v>
      </c>
      <c r="AV234" s="58">
        <f t="shared" si="122"/>
        <v>10.5</v>
      </c>
      <c r="AW234" s="301" t="s">
        <v>5806</v>
      </c>
      <c r="AX234" s="310" t="s">
        <v>4715</v>
      </c>
      <c r="AY234" s="310">
        <f t="shared" ref="AY234:AY246" si="133" xml:space="preserve"> 50/AZ234/0.25</f>
        <v>10</v>
      </c>
      <c r="AZ234" s="310">
        <v>20</v>
      </c>
      <c r="BA234" s="310">
        <f t="shared" si="124"/>
        <v>245</v>
      </c>
      <c r="BB234" s="21">
        <f t="shared" si="132"/>
        <v>46.1</v>
      </c>
      <c r="BC234" s="21">
        <f t="shared" si="127"/>
        <v>46.1</v>
      </c>
      <c r="BD234" s="21">
        <v>0</v>
      </c>
      <c r="BE234" s="21">
        <v>90</v>
      </c>
      <c r="BF234" s="21">
        <f t="shared" si="125"/>
        <v>182.8</v>
      </c>
      <c r="BG234" s="15" t="s">
        <v>6318</v>
      </c>
      <c r="BH234" s="310" t="s">
        <v>6204</v>
      </c>
      <c r="BI234" s="310" t="s">
        <v>6204</v>
      </c>
      <c r="BJ234" s="310">
        <v>2</v>
      </c>
      <c r="BK234" s="310">
        <v>4</v>
      </c>
      <c r="BL234" s="196" t="s">
        <v>5791</v>
      </c>
      <c r="BM234" s="197" t="s">
        <v>5791</v>
      </c>
      <c r="BN234" s="197" t="s">
        <v>5791</v>
      </c>
      <c r="BO234" s="197" t="s">
        <v>5791</v>
      </c>
      <c r="BP234" s="197" t="s">
        <v>5791</v>
      </c>
      <c r="BQ234" s="197" t="s">
        <v>5791</v>
      </c>
      <c r="BR234" s="197" t="s">
        <v>5791</v>
      </c>
      <c r="BS234" s="197" t="s">
        <v>5791</v>
      </c>
      <c r="BT234" s="196" t="s">
        <v>5791</v>
      </c>
      <c r="BU234" s="197" t="s">
        <v>5791</v>
      </c>
      <c r="BV234" s="197" t="s">
        <v>5791</v>
      </c>
      <c r="BW234" s="197" t="s">
        <v>5791</v>
      </c>
      <c r="BX234" s="197" t="s">
        <v>5791</v>
      </c>
      <c r="BY234" s="197" t="s">
        <v>5791</v>
      </c>
      <c r="BZ234" s="212" t="s">
        <v>5791</v>
      </c>
      <c r="CA234" s="197" t="s">
        <v>5791</v>
      </c>
      <c r="CB234" s="197" t="s">
        <v>5791</v>
      </c>
      <c r="CC234" s="197" t="s">
        <v>5791</v>
      </c>
      <c r="CD234" s="197" t="s">
        <v>5791</v>
      </c>
      <c r="CE234" s="197" t="s">
        <v>5791</v>
      </c>
      <c r="CF234" s="212" t="s">
        <v>5791</v>
      </c>
      <c r="CG234" s="59" t="s">
        <v>5664</v>
      </c>
      <c r="CH234" s="59">
        <v>275</v>
      </c>
      <c r="CI234" s="33">
        <f>CI235</f>
        <v>283.14666666666665</v>
      </c>
      <c r="CJ234" s="59">
        <v>430</v>
      </c>
      <c r="CK234" s="33">
        <f>CK235</f>
        <v>468.12666666666672</v>
      </c>
      <c r="CL234" s="66">
        <v>200000</v>
      </c>
      <c r="CM234" s="59" t="s">
        <v>5664</v>
      </c>
      <c r="CN234" s="59">
        <v>275</v>
      </c>
      <c r="CO234" s="33">
        <f>CO235</f>
        <v>270.48333333333335</v>
      </c>
      <c r="CP234" s="59">
        <v>430</v>
      </c>
      <c r="CQ234" s="33">
        <f>CQ235</f>
        <v>410.1466666666667</v>
      </c>
      <c r="CR234" s="66">
        <v>200000</v>
      </c>
      <c r="CS234" s="59" t="s">
        <v>5664</v>
      </c>
      <c r="CT234" s="59">
        <v>275</v>
      </c>
      <c r="CU234" s="33">
        <f>CU235</f>
        <v>321.61500000000001</v>
      </c>
      <c r="CV234" s="59">
        <v>430</v>
      </c>
      <c r="CW234" s="33">
        <f>CW235</f>
        <v>439.435</v>
      </c>
      <c r="CX234" s="60">
        <v>200000</v>
      </c>
      <c r="CY234" s="201" t="s">
        <v>5791</v>
      </c>
      <c r="CZ234" s="202" t="s">
        <v>5791</v>
      </c>
      <c r="DA234" s="202" t="s">
        <v>5791</v>
      </c>
      <c r="DB234" s="203" t="s">
        <v>5791</v>
      </c>
      <c r="DC234" s="201" t="s">
        <v>5791</v>
      </c>
      <c r="DD234" s="202" t="s">
        <v>5791</v>
      </c>
      <c r="DE234" s="203" t="s">
        <v>5791</v>
      </c>
      <c r="DF234" s="274" t="s">
        <v>5791</v>
      </c>
      <c r="DG234" s="310">
        <v>8.8000000000000007</v>
      </c>
      <c r="DH234" s="310">
        <v>640</v>
      </c>
      <c r="DI234" s="59">
        <v>604</v>
      </c>
      <c r="DJ234" s="59">
        <v>800</v>
      </c>
      <c r="DK234" s="59">
        <v>749</v>
      </c>
      <c r="DL234" s="60">
        <v>200000</v>
      </c>
      <c r="DM234" s="29" t="s">
        <v>5843</v>
      </c>
      <c r="DN234" s="301" t="s">
        <v>4435</v>
      </c>
      <c r="DO234" s="306" t="s">
        <v>4565</v>
      </c>
    </row>
    <row r="235" spans="1:119">
      <c r="A235" s="301">
        <v>230</v>
      </c>
      <c r="B235" s="349"/>
      <c r="C235" s="349"/>
      <c r="D235" s="459"/>
      <c r="E235" s="374"/>
      <c r="F235" s="349"/>
      <c r="G235" s="369"/>
      <c r="H235" s="369"/>
      <c r="I235" s="369"/>
      <c r="J235" s="286" t="s">
        <v>5939</v>
      </c>
      <c r="K235" s="301" t="s">
        <v>6320</v>
      </c>
      <c r="L235" s="310" t="s">
        <v>5791</v>
      </c>
      <c r="M235" s="301" t="s">
        <v>4508</v>
      </c>
      <c r="N235" s="310" t="s">
        <v>4702</v>
      </c>
      <c r="O235" s="18" t="s">
        <v>4506</v>
      </c>
      <c r="P235" s="310" t="s">
        <v>6317</v>
      </c>
      <c r="Q235" s="310" t="s">
        <v>4420</v>
      </c>
      <c r="R235" s="310" t="s">
        <v>4420</v>
      </c>
      <c r="S235" s="310" t="s">
        <v>5791</v>
      </c>
      <c r="T235" s="59" t="s">
        <v>4420</v>
      </c>
      <c r="U235" s="59" t="s">
        <v>5791</v>
      </c>
      <c r="V235" s="59" t="s">
        <v>4420</v>
      </c>
      <c r="W235" s="59" t="s">
        <v>5791</v>
      </c>
      <c r="X235" s="310" t="s">
        <v>4420</v>
      </c>
      <c r="Y235" s="310" t="s">
        <v>5791</v>
      </c>
      <c r="Z235" s="310" t="s">
        <v>4558</v>
      </c>
      <c r="AA235" s="18">
        <v>8</v>
      </c>
      <c r="AB235" s="223">
        <v>0</v>
      </c>
      <c r="AC235" s="18">
        <v>0</v>
      </c>
      <c r="AD235" s="301" t="s">
        <v>4345</v>
      </c>
      <c r="AE235" s="21">
        <f>INDEX('[2]Cross-Section Database'!$C$2:$V$2928,MATCH(AD235,'[2]Cross-Section Database'!$B$2:$B$2928,0),3)</f>
        <v>222.2</v>
      </c>
      <c r="AF235" s="21">
        <f>INDEX('[2]Cross-Section Database'!$C$2:$V$2928,MATCH(AD235,'[2]Cross-Section Database'!$B$2:$B$2928,0),4)</f>
        <v>209.1</v>
      </c>
      <c r="AG235" s="21">
        <f>INDEX('[2]Cross-Section Database'!$C$2:$V$2928,MATCH(AD235,'[2]Cross-Section Database'!$B$2:$B$2928,0),6)</f>
        <v>20.5</v>
      </c>
      <c r="AH235" s="21">
        <f>INDEX('[2]Cross-Section Database'!$C$2:$V$2928,MATCH(AD235,'[2]Cross-Section Database'!$B$2:$B$2928,0),5)</f>
        <v>12.7</v>
      </c>
      <c r="AI235" s="21">
        <v>1000</v>
      </c>
      <c r="AJ235" s="301" t="s">
        <v>6336</v>
      </c>
      <c r="AK235" s="21">
        <f>INDEX('[2]Cross-Section Database'!$C$2:$V$2928,MATCH(AJ235,'[2]Cross-Section Database'!$B$2:$B$2928,0),3)</f>
        <v>256</v>
      </c>
      <c r="AL235" s="21">
        <f>INDEX('[2]Cross-Section Database'!$C$2:$V$2928,MATCH(AJ235,'[2]Cross-Section Database'!$B$2:$B$2928,0),4)</f>
        <v>146.4</v>
      </c>
      <c r="AM235" s="21">
        <f>INDEX('[2]Cross-Section Database'!$C$2:$V$2928,MATCH(AJ235,'[2]Cross-Section Database'!$B$2:$B$2928,0),6)</f>
        <v>10.9</v>
      </c>
      <c r="AN235" s="21">
        <f>INDEX('[2]Cross-Section Database'!$C$2:$V$2928,MATCH(AJ235,'[2]Cross-Section Database'!$B$2:$B$2928,0),5)</f>
        <v>6.3</v>
      </c>
      <c r="AO235" s="21">
        <v>1000</v>
      </c>
      <c r="AP235" s="21">
        <f>INDEX('[2]Cross-Section Database'!$C$2:$V$3928,MATCH(AJ235,'[2]Cross-Section Database'!$B$2:$B$3928,0),11)</f>
        <v>55370000</v>
      </c>
      <c r="AQ235" s="24">
        <f>INDEX('[2]Cross-Section Database'!$C$2:$V$3928,MATCH(AJ235,'[2]Cross-Section Database'!$B$2:$B$3928,0),12)</f>
        <v>483200</v>
      </c>
      <c r="AR235" s="21">
        <v>12</v>
      </c>
      <c r="AS235" s="21">
        <v>200</v>
      </c>
      <c r="AT235" s="21">
        <v>275</v>
      </c>
      <c r="AU235" s="21">
        <f t="shared" si="121"/>
        <v>9.5</v>
      </c>
      <c r="AV235" s="21">
        <f t="shared" si="122"/>
        <v>9.5</v>
      </c>
      <c r="AW235" s="301" t="s">
        <v>5806</v>
      </c>
      <c r="AX235" s="310" t="s">
        <v>4715</v>
      </c>
      <c r="AY235" s="310">
        <f t="shared" si="133"/>
        <v>10</v>
      </c>
      <c r="AZ235" s="310">
        <v>20</v>
      </c>
      <c r="BA235" s="310">
        <f t="shared" si="124"/>
        <v>245</v>
      </c>
      <c r="BB235" s="21">
        <f t="shared" si="132"/>
        <v>45.05</v>
      </c>
      <c r="BC235" s="21">
        <f t="shared" si="127"/>
        <v>45.05</v>
      </c>
      <c r="BD235" s="21">
        <v>0</v>
      </c>
      <c r="BE235" s="21">
        <v>90</v>
      </c>
      <c r="BF235" s="21">
        <f t="shared" si="125"/>
        <v>184.89999999999998</v>
      </c>
      <c r="BG235" s="15" t="s">
        <v>6318</v>
      </c>
      <c r="BH235" s="310" t="s">
        <v>6204</v>
      </c>
      <c r="BI235" s="310" t="s">
        <v>6204</v>
      </c>
      <c r="BJ235" s="310">
        <v>2</v>
      </c>
      <c r="BK235" s="310">
        <v>4</v>
      </c>
      <c r="BL235" s="196" t="s">
        <v>5791</v>
      </c>
      <c r="BM235" s="197" t="s">
        <v>5791</v>
      </c>
      <c r="BN235" s="197" t="s">
        <v>5791</v>
      </c>
      <c r="BO235" s="197" t="s">
        <v>5791</v>
      </c>
      <c r="BP235" s="197" t="s">
        <v>5791</v>
      </c>
      <c r="BQ235" s="197" t="s">
        <v>5791</v>
      </c>
      <c r="BR235" s="197" t="s">
        <v>5791</v>
      </c>
      <c r="BS235" s="197" t="s">
        <v>5791</v>
      </c>
      <c r="BT235" s="196" t="s">
        <v>5791</v>
      </c>
      <c r="BU235" s="197" t="s">
        <v>5791</v>
      </c>
      <c r="BV235" s="197" t="s">
        <v>5791</v>
      </c>
      <c r="BW235" s="197" t="s">
        <v>5791</v>
      </c>
      <c r="BX235" s="197" t="s">
        <v>5791</v>
      </c>
      <c r="BY235" s="197" t="s">
        <v>5791</v>
      </c>
      <c r="BZ235" s="212" t="s">
        <v>5791</v>
      </c>
      <c r="CA235" s="197" t="s">
        <v>5791</v>
      </c>
      <c r="CB235" s="197" t="s">
        <v>5791</v>
      </c>
      <c r="CC235" s="197" t="s">
        <v>5791</v>
      </c>
      <c r="CD235" s="197" t="s">
        <v>5791</v>
      </c>
      <c r="CE235" s="197" t="s">
        <v>5791</v>
      </c>
      <c r="CF235" s="212" t="s">
        <v>5791</v>
      </c>
      <c r="CG235" s="59" t="s">
        <v>5664</v>
      </c>
      <c r="CH235" s="59">
        <v>275</v>
      </c>
      <c r="CI235" s="46">
        <f>(286.51+289.06+273.87)/3</f>
        <v>283.14666666666665</v>
      </c>
      <c r="CJ235" s="59">
        <v>430</v>
      </c>
      <c r="CK235" s="46">
        <f>(468.84+459.87+475.67)/3</f>
        <v>468.12666666666672</v>
      </c>
      <c r="CL235" s="66">
        <v>200000</v>
      </c>
      <c r="CM235" s="59" t="s">
        <v>5664</v>
      </c>
      <c r="CN235" s="59">
        <v>275</v>
      </c>
      <c r="CO235" s="46">
        <f>(272.11+263.93+275.41)/3</f>
        <v>270.48333333333335</v>
      </c>
      <c r="CP235" s="59">
        <v>430</v>
      </c>
      <c r="CQ235" s="46">
        <f>(404.61+411.91+413.92)/3</f>
        <v>410.1466666666667</v>
      </c>
      <c r="CR235" s="66">
        <v>200000</v>
      </c>
      <c r="CS235" s="59" t="s">
        <v>5664</v>
      </c>
      <c r="CT235" s="59">
        <v>275</v>
      </c>
      <c r="CU235" s="46">
        <f>(317.39+325.84)/2</f>
        <v>321.61500000000001</v>
      </c>
      <c r="CV235" s="59">
        <v>430</v>
      </c>
      <c r="CW235" s="46">
        <f>(446.11+432.76)/2</f>
        <v>439.435</v>
      </c>
      <c r="CX235" s="60">
        <v>200000</v>
      </c>
      <c r="CY235" s="201" t="s">
        <v>5791</v>
      </c>
      <c r="CZ235" s="202" t="s">
        <v>5791</v>
      </c>
      <c r="DA235" s="202" t="s">
        <v>5791</v>
      </c>
      <c r="DB235" s="203" t="s">
        <v>5791</v>
      </c>
      <c r="DC235" s="201" t="s">
        <v>5791</v>
      </c>
      <c r="DD235" s="202" t="s">
        <v>5791</v>
      </c>
      <c r="DE235" s="203" t="s">
        <v>5791</v>
      </c>
      <c r="DF235" s="274" t="s">
        <v>5791</v>
      </c>
      <c r="DG235" s="310">
        <v>8.8000000000000007</v>
      </c>
      <c r="DH235" s="310">
        <v>640</v>
      </c>
      <c r="DI235" s="59">
        <v>604</v>
      </c>
      <c r="DJ235" s="59">
        <v>800</v>
      </c>
      <c r="DK235" s="59">
        <v>749</v>
      </c>
      <c r="DL235" s="60">
        <v>200000</v>
      </c>
      <c r="DM235" s="29" t="s">
        <v>5843</v>
      </c>
      <c r="DN235" s="301" t="s">
        <v>4435</v>
      </c>
      <c r="DO235" s="306" t="s">
        <v>4565</v>
      </c>
    </row>
    <row r="236" spans="1:119">
      <c r="A236" s="301">
        <v>231</v>
      </c>
      <c r="B236" s="349"/>
      <c r="C236" s="349"/>
      <c r="D236" s="459"/>
      <c r="E236" s="374"/>
      <c r="F236" s="349"/>
      <c r="G236" s="369"/>
      <c r="H236" s="369"/>
      <c r="I236" s="369"/>
      <c r="J236" s="286" t="s">
        <v>5940</v>
      </c>
      <c r="K236" s="301" t="s">
        <v>6324</v>
      </c>
      <c r="L236" s="310" t="s">
        <v>6059</v>
      </c>
      <c r="M236" s="301" t="s">
        <v>4508</v>
      </c>
      <c r="N236" s="310" t="s">
        <v>4702</v>
      </c>
      <c r="O236" s="18" t="s">
        <v>4506</v>
      </c>
      <c r="P236" s="310" t="s">
        <v>6317</v>
      </c>
      <c r="Q236" s="310" t="s">
        <v>4420</v>
      </c>
      <c r="R236" s="310" t="s">
        <v>4420</v>
      </c>
      <c r="S236" s="310" t="s">
        <v>5791</v>
      </c>
      <c r="T236" s="59" t="s">
        <v>4420</v>
      </c>
      <c r="U236" s="59" t="s">
        <v>5791</v>
      </c>
      <c r="V236" s="59" t="s">
        <v>4420</v>
      </c>
      <c r="W236" s="59" t="s">
        <v>5791</v>
      </c>
      <c r="X236" s="310" t="s">
        <v>4420</v>
      </c>
      <c r="Y236" s="310" t="s">
        <v>5791</v>
      </c>
      <c r="Z236" s="310" t="s">
        <v>4558</v>
      </c>
      <c r="AA236" s="18">
        <v>8</v>
      </c>
      <c r="AB236" s="223">
        <v>0</v>
      </c>
      <c r="AC236" s="18">
        <v>0</v>
      </c>
      <c r="AD236" s="301" t="s">
        <v>4345</v>
      </c>
      <c r="AE236" s="21">
        <f>INDEX('[2]Cross-Section Database'!$C$2:$V$2928,MATCH(AD236,'[2]Cross-Section Database'!$B$2:$B$2928,0),3)</f>
        <v>222.2</v>
      </c>
      <c r="AF236" s="21">
        <f>INDEX('[2]Cross-Section Database'!$C$2:$V$2928,MATCH(AD236,'[2]Cross-Section Database'!$B$2:$B$2928,0),4)</f>
        <v>209.1</v>
      </c>
      <c r="AG236" s="21">
        <f>INDEX('[2]Cross-Section Database'!$C$2:$V$2928,MATCH(AD236,'[2]Cross-Section Database'!$B$2:$B$2928,0),6)</f>
        <v>20.5</v>
      </c>
      <c r="AH236" s="21">
        <f>INDEX('[2]Cross-Section Database'!$C$2:$V$2928,MATCH(AD236,'[2]Cross-Section Database'!$B$2:$B$2928,0),5)</f>
        <v>12.7</v>
      </c>
      <c r="AI236" s="21">
        <v>1000</v>
      </c>
      <c r="AJ236" s="301" t="s">
        <v>6336</v>
      </c>
      <c r="AK236" s="21">
        <f>INDEX('[2]Cross-Section Database'!$C$2:$V$2928,MATCH(AJ236,'[2]Cross-Section Database'!$B$2:$B$2928,0),3)</f>
        <v>256</v>
      </c>
      <c r="AL236" s="21">
        <f>INDEX('[2]Cross-Section Database'!$C$2:$V$2928,MATCH(AJ236,'[2]Cross-Section Database'!$B$2:$B$2928,0),4)</f>
        <v>146.4</v>
      </c>
      <c r="AM236" s="21">
        <f>INDEX('[2]Cross-Section Database'!$C$2:$V$2928,MATCH(AJ236,'[2]Cross-Section Database'!$B$2:$B$2928,0),6)</f>
        <v>10.9</v>
      </c>
      <c r="AN236" s="21">
        <f>INDEX('[2]Cross-Section Database'!$C$2:$V$2928,MATCH(AJ236,'[2]Cross-Section Database'!$B$2:$B$2928,0),5)</f>
        <v>6.3</v>
      </c>
      <c r="AO236" s="21">
        <v>1000</v>
      </c>
      <c r="AP236" s="21">
        <f>INDEX('[2]Cross-Section Database'!$C$2:$V$3928,MATCH(AJ236,'[2]Cross-Section Database'!$B$2:$B$3928,0),11)</f>
        <v>55370000</v>
      </c>
      <c r="AQ236" s="24">
        <f>INDEX('[2]Cross-Section Database'!$C$2:$V$3928,MATCH(AJ236,'[2]Cross-Section Database'!$B$2:$B$3928,0),12)</f>
        <v>483200</v>
      </c>
      <c r="AR236" s="21">
        <v>12</v>
      </c>
      <c r="AS236" s="21">
        <v>200</v>
      </c>
      <c r="AT236" s="21">
        <v>275</v>
      </c>
      <c r="AU236" s="21">
        <f t="shared" si="121"/>
        <v>9.5</v>
      </c>
      <c r="AV236" s="21">
        <f t="shared" si="122"/>
        <v>9.5</v>
      </c>
      <c r="AW236" s="301" t="s">
        <v>5806</v>
      </c>
      <c r="AX236" s="310" t="s">
        <v>4715</v>
      </c>
      <c r="AY236" s="310">
        <f t="shared" si="133"/>
        <v>10</v>
      </c>
      <c r="AZ236" s="310">
        <v>20</v>
      </c>
      <c r="BA236" s="310">
        <f t="shared" si="124"/>
        <v>245</v>
      </c>
      <c r="BB236" s="21">
        <f t="shared" si="132"/>
        <v>45.05</v>
      </c>
      <c r="BC236" s="21">
        <f t="shared" si="127"/>
        <v>45.05</v>
      </c>
      <c r="BD236" s="21">
        <v>0</v>
      </c>
      <c r="BE236" s="21">
        <v>90</v>
      </c>
      <c r="BF236" s="21">
        <f t="shared" si="125"/>
        <v>184.89999999999998</v>
      </c>
      <c r="BG236" s="15" t="s">
        <v>6318</v>
      </c>
      <c r="BH236" s="310" t="s">
        <v>6204</v>
      </c>
      <c r="BI236" s="310" t="s">
        <v>6204</v>
      </c>
      <c r="BJ236" s="310">
        <v>2</v>
      </c>
      <c r="BK236" s="310">
        <v>4</v>
      </c>
      <c r="BL236" s="196" t="s">
        <v>5791</v>
      </c>
      <c r="BM236" s="197" t="s">
        <v>5791</v>
      </c>
      <c r="BN236" s="197" t="s">
        <v>5791</v>
      </c>
      <c r="BO236" s="197" t="s">
        <v>5791</v>
      </c>
      <c r="BP236" s="197" t="s">
        <v>5791</v>
      </c>
      <c r="BQ236" s="197" t="s">
        <v>5791</v>
      </c>
      <c r="BR236" s="197" t="s">
        <v>5791</v>
      </c>
      <c r="BS236" s="197" t="s">
        <v>5791</v>
      </c>
      <c r="BT236" s="196" t="s">
        <v>5791</v>
      </c>
      <c r="BU236" s="197" t="s">
        <v>5791</v>
      </c>
      <c r="BV236" s="197" t="s">
        <v>5791</v>
      </c>
      <c r="BW236" s="197" t="s">
        <v>5791</v>
      </c>
      <c r="BX236" s="197" t="s">
        <v>5791</v>
      </c>
      <c r="BY236" s="197" t="s">
        <v>5791</v>
      </c>
      <c r="BZ236" s="212" t="s">
        <v>5791</v>
      </c>
      <c r="CA236" s="197" t="s">
        <v>5791</v>
      </c>
      <c r="CB236" s="197" t="s">
        <v>5791</v>
      </c>
      <c r="CC236" s="197" t="s">
        <v>5791</v>
      </c>
      <c r="CD236" s="197" t="s">
        <v>5791</v>
      </c>
      <c r="CE236" s="197" t="s">
        <v>5791</v>
      </c>
      <c r="CF236" s="212" t="s">
        <v>5791</v>
      </c>
      <c r="CG236" s="59" t="s">
        <v>5664</v>
      </c>
      <c r="CH236" s="59">
        <v>275</v>
      </c>
      <c r="CI236" s="33">
        <f>CI235</f>
        <v>283.14666666666665</v>
      </c>
      <c r="CJ236" s="59">
        <v>430</v>
      </c>
      <c r="CK236" s="33">
        <f>CK235</f>
        <v>468.12666666666672</v>
      </c>
      <c r="CL236" s="66">
        <v>200000</v>
      </c>
      <c r="CM236" s="59" t="s">
        <v>5664</v>
      </c>
      <c r="CN236" s="59">
        <v>275</v>
      </c>
      <c r="CO236" s="46">
        <f>(292.07+272.05+302.39)/3</f>
        <v>288.83666666666664</v>
      </c>
      <c r="CP236" s="59">
        <v>430</v>
      </c>
      <c r="CQ236" s="46">
        <f>(424.48+413.91+415.79)/3</f>
        <v>418.06</v>
      </c>
      <c r="CR236" s="66">
        <v>200000</v>
      </c>
      <c r="CS236" s="59" t="s">
        <v>5664</v>
      </c>
      <c r="CT236" s="59">
        <v>275</v>
      </c>
      <c r="CU236" s="46">
        <f>(323.11+327.72)/2</f>
        <v>325.41500000000002</v>
      </c>
      <c r="CV236" s="59">
        <v>430</v>
      </c>
      <c r="CW236" s="46">
        <f>(449.79+465.7)/2</f>
        <v>457.745</v>
      </c>
      <c r="CX236" s="60">
        <v>200000</v>
      </c>
      <c r="CY236" s="201" t="s">
        <v>5791</v>
      </c>
      <c r="CZ236" s="202" t="s">
        <v>5791</v>
      </c>
      <c r="DA236" s="202" t="s">
        <v>5791</v>
      </c>
      <c r="DB236" s="203" t="s">
        <v>5791</v>
      </c>
      <c r="DC236" s="201" t="s">
        <v>5791</v>
      </c>
      <c r="DD236" s="202" t="s">
        <v>5791</v>
      </c>
      <c r="DE236" s="203" t="s">
        <v>5791</v>
      </c>
      <c r="DF236" s="274" t="s">
        <v>5791</v>
      </c>
      <c r="DG236" s="310">
        <v>8.8000000000000007</v>
      </c>
      <c r="DH236" s="310">
        <v>640</v>
      </c>
      <c r="DI236" s="59">
        <v>604</v>
      </c>
      <c r="DJ236" s="59">
        <v>800</v>
      </c>
      <c r="DK236" s="59">
        <v>749</v>
      </c>
      <c r="DL236" s="60">
        <v>200000</v>
      </c>
      <c r="DM236" s="40" t="s">
        <v>4758</v>
      </c>
      <c r="DN236" s="301" t="s">
        <v>4435</v>
      </c>
      <c r="DO236" s="306" t="s">
        <v>4565</v>
      </c>
    </row>
    <row r="237" spans="1:119">
      <c r="A237" s="301">
        <v>232</v>
      </c>
      <c r="B237" s="349"/>
      <c r="C237" s="349"/>
      <c r="D237" s="459"/>
      <c r="E237" s="374"/>
      <c r="F237" s="349"/>
      <c r="G237" s="369"/>
      <c r="H237" s="369"/>
      <c r="I237" s="369"/>
      <c r="J237" s="286" t="s">
        <v>5941</v>
      </c>
      <c r="K237" s="301" t="s">
        <v>6324</v>
      </c>
      <c r="L237" s="310" t="s">
        <v>6059</v>
      </c>
      <c r="M237" s="301" t="s">
        <v>4508</v>
      </c>
      <c r="N237" s="310" t="s">
        <v>4702</v>
      </c>
      <c r="O237" s="18" t="s">
        <v>4506</v>
      </c>
      <c r="P237" s="310" t="s">
        <v>6317</v>
      </c>
      <c r="Q237" s="310" t="s">
        <v>4420</v>
      </c>
      <c r="R237" s="310" t="s">
        <v>4420</v>
      </c>
      <c r="S237" s="310" t="s">
        <v>5791</v>
      </c>
      <c r="T237" s="59" t="s">
        <v>4420</v>
      </c>
      <c r="U237" s="59" t="s">
        <v>5791</v>
      </c>
      <c r="V237" s="59" t="s">
        <v>4420</v>
      </c>
      <c r="W237" s="59" t="s">
        <v>5791</v>
      </c>
      <c r="X237" s="310" t="s">
        <v>4420</v>
      </c>
      <c r="Y237" s="310" t="s">
        <v>5791</v>
      </c>
      <c r="Z237" s="310" t="s">
        <v>4558</v>
      </c>
      <c r="AA237" s="18">
        <v>8</v>
      </c>
      <c r="AB237" s="223">
        <v>0</v>
      </c>
      <c r="AC237" s="18">
        <v>0</v>
      </c>
      <c r="AD237" s="301" t="s">
        <v>4345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1" t="s">
        <v>6336</v>
      </c>
      <c r="AK237" s="21">
        <f>INDEX('[2]Cross-Section Database'!$C$2:$V$2928,MATCH(AJ237,'[2]Cross-Section Database'!$B$2:$B$2928,0),3)</f>
        <v>256</v>
      </c>
      <c r="AL237" s="21">
        <f>INDEX('[2]Cross-Section Database'!$C$2:$V$2928,MATCH(AJ237,'[2]Cross-Section Database'!$B$2:$B$2928,0),4)</f>
        <v>146.4</v>
      </c>
      <c r="AM237" s="21">
        <f>INDEX('[2]Cross-Section Database'!$C$2:$V$2928,MATCH(AJ237,'[2]Cross-Section Database'!$B$2:$B$2928,0),6)</f>
        <v>10.9</v>
      </c>
      <c r="AN237" s="21">
        <f>INDEX('[2]Cross-Section Database'!$C$2:$V$2928,MATCH(AJ237,'[2]Cross-Section Database'!$B$2:$B$2928,0),5)</f>
        <v>6.3</v>
      </c>
      <c r="AO237" s="21">
        <v>1000</v>
      </c>
      <c r="AP237" s="21">
        <f>INDEX('[2]Cross-Section Database'!$C$2:$V$3928,MATCH(AJ237,'[2]Cross-Section Database'!$B$2:$B$3928,0),11)</f>
        <v>55370000</v>
      </c>
      <c r="AQ237" s="24">
        <f>INDEX('[2]Cross-Section Database'!$C$2:$V$3928,MATCH(AJ237,'[2]Cross-Section Database'!$B$2:$B$3928,0),12)</f>
        <v>483200</v>
      </c>
      <c r="AR237" s="21">
        <v>12</v>
      </c>
      <c r="AS237" s="21">
        <v>200</v>
      </c>
      <c r="AT237" s="21">
        <v>275</v>
      </c>
      <c r="AU237" s="21">
        <f t="shared" si="121"/>
        <v>9.5</v>
      </c>
      <c r="AV237" s="21">
        <f t="shared" si="122"/>
        <v>9.5</v>
      </c>
      <c r="AW237" s="301" t="s">
        <v>5806</v>
      </c>
      <c r="AX237" s="310" t="s">
        <v>4715</v>
      </c>
      <c r="AY237" s="21">
        <f t="shared" si="133"/>
        <v>10</v>
      </c>
      <c r="AZ237" s="310">
        <v>20</v>
      </c>
      <c r="BA237" s="310">
        <f t="shared" si="124"/>
        <v>245</v>
      </c>
      <c r="BB237" s="21">
        <f t="shared" si="132"/>
        <v>45.05</v>
      </c>
      <c r="BC237" s="21">
        <f t="shared" si="127"/>
        <v>45.05</v>
      </c>
      <c r="BD237" s="21">
        <v>0</v>
      </c>
      <c r="BE237" s="21">
        <v>90</v>
      </c>
      <c r="BF237" s="21">
        <f t="shared" si="125"/>
        <v>184.89999999999998</v>
      </c>
      <c r="BG237" s="15" t="s">
        <v>6318</v>
      </c>
      <c r="BH237" s="310" t="s">
        <v>6204</v>
      </c>
      <c r="BI237" s="310" t="s">
        <v>6204</v>
      </c>
      <c r="BJ237" s="310">
        <v>2</v>
      </c>
      <c r="BK237" s="310">
        <v>4</v>
      </c>
      <c r="BL237" s="196" t="s">
        <v>5791</v>
      </c>
      <c r="BM237" s="197" t="s">
        <v>5791</v>
      </c>
      <c r="BN237" s="197" t="s">
        <v>5791</v>
      </c>
      <c r="BO237" s="197" t="s">
        <v>5791</v>
      </c>
      <c r="BP237" s="197" t="s">
        <v>5791</v>
      </c>
      <c r="BQ237" s="197" t="s">
        <v>5791</v>
      </c>
      <c r="BR237" s="197" t="s">
        <v>5791</v>
      </c>
      <c r="BS237" s="197" t="s">
        <v>5791</v>
      </c>
      <c r="BT237" s="196" t="s">
        <v>5791</v>
      </c>
      <c r="BU237" s="197" t="s">
        <v>5791</v>
      </c>
      <c r="BV237" s="197" t="s">
        <v>5791</v>
      </c>
      <c r="BW237" s="197" t="s">
        <v>5791</v>
      </c>
      <c r="BX237" s="197" t="s">
        <v>5791</v>
      </c>
      <c r="BY237" s="197" t="s">
        <v>5791</v>
      </c>
      <c r="BZ237" s="212" t="s">
        <v>5791</v>
      </c>
      <c r="CA237" s="197" t="s">
        <v>5791</v>
      </c>
      <c r="CB237" s="197" t="s">
        <v>5791</v>
      </c>
      <c r="CC237" s="197" t="s">
        <v>5791</v>
      </c>
      <c r="CD237" s="197" t="s">
        <v>5791</v>
      </c>
      <c r="CE237" s="197" t="s">
        <v>5791</v>
      </c>
      <c r="CF237" s="212" t="s">
        <v>5791</v>
      </c>
      <c r="CG237" s="59" t="s">
        <v>5664</v>
      </c>
      <c r="CH237" s="59">
        <v>275</v>
      </c>
      <c r="CI237" s="33">
        <f>CI235</f>
        <v>283.14666666666665</v>
      </c>
      <c r="CJ237" s="59">
        <v>430</v>
      </c>
      <c r="CK237" s="33">
        <f>CK235</f>
        <v>468.12666666666672</v>
      </c>
      <c r="CL237" s="66">
        <v>200000</v>
      </c>
      <c r="CM237" s="59" t="s">
        <v>5664</v>
      </c>
      <c r="CN237" s="59">
        <v>275</v>
      </c>
      <c r="CO237" s="33">
        <f>CO236</f>
        <v>288.83666666666664</v>
      </c>
      <c r="CP237" s="59">
        <v>430</v>
      </c>
      <c r="CQ237" s="33">
        <f>CQ236</f>
        <v>418.06</v>
      </c>
      <c r="CR237" s="66">
        <v>200000</v>
      </c>
      <c r="CS237" s="59" t="s">
        <v>5664</v>
      </c>
      <c r="CT237" s="59">
        <v>275</v>
      </c>
      <c r="CU237" s="33">
        <f>CU236</f>
        <v>325.41500000000002</v>
      </c>
      <c r="CV237" s="59">
        <v>430</v>
      </c>
      <c r="CW237" s="33">
        <f>CW236</f>
        <v>457.745</v>
      </c>
      <c r="CX237" s="60">
        <v>200000</v>
      </c>
      <c r="CY237" s="201" t="s">
        <v>5791</v>
      </c>
      <c r="CZ237" s="202" t="s">
        <v>5791</v>
      </c>
      <c r="DA237" s="202" t="s">
        <v>5791</v>
      </c>
      <c r="DB237" s="203" t="s">
        <v>5791</v>
      </c>
      <c r="DC237" s="201" t="s">
        <v>5791</v>
      </c>
      <c r="DD237" s="202" t="s">
        <v>5791</v>
      </c>
      <c r="DE237" s="203" t="s">
        <v>5791</v>
      </c>
      <c r="DF237" s="274" t="s">
        <v>5791</v>
      </c>
      <c r="DG237" s="310">
        <v>8.8000000000000007</v>
      </c>
      <c r="DH237" s="310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40" t="s">
        <v>5831</v>
      </c>
      <c r="DN237" s="301" t="s">
        <v>4435</v>
      </c>
      <c r="DO237" s="306" t="s">
        <v>4565</v>
      </c>
    </row>
    <row r="238" spans="1:119">
      <c r="A238" s="301">
        <v>233</v>
      </c>
      <c r="B238" s="349"/>
      <c r="C238" s="349"/>
      <c r="D238" s="459"/>
      <c r="E238" s="374"/>
      <c r="F238" s="349"/>
      <c r="G238" s="369"/>
      <c r="H238" s="369"/>
      <c r="I238" s="369"/>
      <c r="J238" s="286" t="s">
        <v>5942</v>
      </c>
      <c r="K238" s="301" t="s">
        <v>6320</v>
      </c>
      <c r="L238" s="310" t="s">
        <v>5791</v>
      </c>
      <c r="M238" s="301" t="s">
        <v>4508</v>
      </c>
      <c r="N238" s="310" t="s">
        <v>4702</v>
      </c>
      <c r="O238" s="18" t="s">
        <v>4506</v>
      </c>
      <c r="P238" s="310" t="s">
        <v>6317</v>
      </c>
      <c r="Q238" s="310" t="s">
        <v>4420</v>
      </c>
      <c r="R238" s="310" t="s">
        <v>4420</v>
      </c>
      <c r="S238" s="310" t="s">
        <v>5791</v>
      </c>
      <c r="T238" s="59" t="s">
        <v>4420</v>
      </c>
      <c r="U238" s="59" t="s">
        <v>5791</v>
      </c>
      <c r="V238" s="59" t="s">
        <v>4420</v>
      </c>
      <c r="W238" s="59" t="s">
        <v>5791</v>
      </c>
      <c r="X238" s="310" t="s">
        <v>4420</v>
      </c>
      <c r="Y238" s="310" t="s">
        <v>5791</v>
      </c>
      <c r="Z238" s="310" t="s">
        <v>4558</v>
      </c>
      <c r="AA238" s="18">
        <v>8</v>
      </c>
      <c r="AB238" s="223">
        <v>0</v>
      </c>
      <c r="AC238" s="18">
        <v>0</v>
      </c>
      <c r="AD238" s="301" t="s">
        <v>4345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1" t="s">
        <v>6336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20</v>
      </c>
      <c r="AS238" s="21">
        <v>200</v>
      </c>
      <c r="AT238" s="21">
        <v>275</v>
      </c>
      <c r="AU238" s="21">
        <f t="shared" si="121"/>
        <v>9.5</v>
      </c>
      <c r="AV238" s="21">
        <f t="shared" si="122"/>
        <v>9.5</v>
      </c>
      <c r="AW238" s="301" t="s">
        <v>5806</v>
      </c>
      <c r="AX238" s="310" t="s">
        <v>4715</v>
      </c>
      <c r="AY238" s="21">
        <f t="shared" si="133"/>
        <v>12.5</v>
      </c>
      <c r="AZ238" s="310">
        <v>16</v>
      </c>
      <c r="BA238" s="310">
        <f t="shared" si="124"/>
        <v>157</v>
      </c>
      <c r="BB238" s="21">
        <f t="shared" si="132"/>
        <v>45.05</v>
      </c>
      <c r="BC238" s="21">
        <f t="shared" si="127"/>
        <v>45.05</v>
      </c>
      <c r="BD238" s="21">
        <v>0</v>
      </c>
      <c r="BE238" s="21">
        <v>90</v>
      </c>
      <c r="BF238" s="21">
        <f t="shared" si="125"/>
        <v>184.89999999999998</v>
      </c>
      <c r="BG238" s="15" t="s">
        <v>6318</v>
      </c>
      <c r="BH238" s="310" t="s">
        <v>6204</v>
      </c>
      <c r="BI238" s="310" t="s">
        <v>6204</v>
      </c>
      <c r="BJ238" s="310">
        <v>2</v>
      </c>
      <c r="BK238" s="310">
        <v>4</v>
      </c>
      <c r="BL238" s="196" t="s">
        <v>5791</v>
      </c>
      <c r="BM238" s="197" t="s">
        <v>5791</v>
      </c>
      <c r="BN238" s="197" t="s">
        <v>5791</v>
      </c>
      <c r="BO238" s="197" t="s">
        <v>5791</v>
      </c>
      <c r="BP238" s="197" t="s">
        <v>5791</v>
      </c>
      <c r="BQ238" s="197" t="s">
        <v>5791</v>
      </c>
      <c r="BR238" s="197" t="s">
        <v>5791</v>
      </c>
      <c r="BS238" s="197" t="s">
        <v>5791</v>
      </c>
      <c r="BT238" s="196" t="s">
        <v>5791</v>
      </c>
      <c r="BU238" s="197" t="s">
        <v>5791</v>
      </c>
      <c r="BV238" s="197" t="s">
        <v>5791</v>
      </c>
      <c r="BW238" s="197" t="s">
        <v>5791</v>
      </c>
      <c r="BX238" s="197" t="s">
        <v>5791</v>
      </c>
      <c r="BY238" s="197" t="s">
        <v>5791</v>
      </c>
      <c r="BZ238" s="212" t="s">
        <v>5791</v>
      </c>
      <c r="CA238" s="197" t="s">
        <v>5791</v>
      </c>
      <c r="CB238" s="197" t="s">
        <v>5791</v>
      </c>
      <c r="CC238" s="197" t="s">
        <v>5791</v>
      </c>
      <c r="CD238" s="197" t="s">
        <v>5791</v>
      </c>
      <c r="CE238" s="197" t="s">
        <v>5791</v>
      </c>
      <c r="CF238" s="212" t="s">
        <v>5791</v>
      </c>
      <c r="CG238" s="59" t="s">
        <v>5664</v>
      </c>
      <c r="CH238" s="59">
        <v>275</v>
      </c>
      <c r="CI238" s="33">
        <f>CI235</f>
        <v>283.14666666666665</v>
      </c>
      <c r="CJ238" s="59">
        <v>430</v>
      </c>
      <c r="CK238" s="33">
        <f>CK235</f>
        <v>468.12666666666672</v>
      </c>
      <c r="CL238" s="66">
        <v>200000</v>
      </c>
      <c r="CM238" s="59" t="s">
        <v>5664</v>
      </c>
      <c r="CN238" s="59">
        <v>275</v>
      </c>
      <c r="CO238" s="46">
        <f>(290.65+281.97+303.76)/3</f>
        <v>292.12666666666667</v>
      </c>
      <c r="CP238" s="59">
        <v>430</v>
      </c>
      <c r="CQ238" s="46">
        <f>(424.34+413.54+405.99)/3</f>
        <v>414.62333333333328</v>
      </c>
      <c r="CR238" s="66">
        <v>200000</v>
      </c>
      <c r="CS238" s="59" t="s">
        <v>5664</v>
      </c>
      <c r="CT238" s="59">
        <v>275</v>
      </c>
      <c r="CU238" s="46">
        <f>(304.04+339.82)/2</f>
        <v>321.93</v>
      </c>
      <c r="CV238" s="59">
        <v>430</v>
      </c>
      <c r="CW238" s="46">
        <f>(480.44+436.58)/2</f>
        <v>458.51</v>
      </c>
      <c r="CX238" s="60">
        <v>200000</v>
      </c>
      <c r="CY238" s="201" t="s">
        <v>5791</v>
      </c>
      <c r="CZ238" s="202" t="s">
        <v>5791</v>
      </c>
      <c r="DA238" s="202" t="s">
        <v>5791</v>
      </c>
      <c r="DB238" s="203" t="s">
        <v>5791</v>
      </c>
      <c r="DC238" s="201" t="s">
        <v>5791</v>
      </c>
      <c r="DD238" s="202" t="s">
        <v>5791</v>
      </c>
      <c r="DE238" s="203" t="s">
        <v>5791</v>
      </c>
      <c r="DF238" s="274" t="s">
        <v>5791</v>
      </c>
      <c r="DG238" s="310">
        <v>8.8000000000000007</v>
      </c>
      <c r="DH238" s="310">
        <v>640</v>
      </c>
      <c r="DI238" s="59">
        <v>694</v>
      </c>
      <c r="DJ238" s="59">
        <v>800</v>
      </c>
      <c r="DK238" s="59">
        <v>849</v>
      </c>
      <c r="DL238" s="60">
        <v>200000</v>
      </c>
      <c r="DM238" s="40" t="s">
        <v>4758</v>
      </c>
      <c r="DN238" s="301" t="s">
        <v>4435</v>
      </c>
      <c r="DO238" s="306" t="s">
        <v>4565</v>
      </c>
    </row>
    <row r="239" spans="1:119">
      <c r="A239" s="301">
        <v>234</v>
      </c>
      <c r="B239" s="349"/>
      <c r="C239" s="349"/>
      <c r="D239" s="459"/>
      <c r="E239" s="374"/>
      <c r="F239" s="349"/>
      <c r="G239" s="369"/>
      <c r="H239" s="369"/>
      <c r="I239" s="369"/>
      <c r="J239" s="286" t="s">
        <v>5943</v>
      </c>
      <c r="K239" s="301" t="s">
        <v>6324</v>
      </c>
      <c r="L239" s="310" t="s">
        <v>6059</v>
      </c>
      <c r="M239" s="301" t="s">
        <v>4508</v>
      </c>
      <c r="N239" s="310" t="s">
        <v>4702</v>
      </c>
      <c r="O239" s="18" t="s">
        <v>4506</v>
      </c>
      <c r="P239" s="310" t="s">
        <v>6317</v>
      </c>
      <c r="Q239" s="310" t="s">
        <v>4420</v>
      </c>
      <c r="R239" s="310" t="s">
        <v>4420</v>
      </c>
      <c r="S239" s="310" t="s">
        <v>5791</v>
      </c>
      <c r="T239" s="59" t="s">
        <v>4420</v>
      </c>
      <c r="U239" s="59" t="s">
        <v>5791</v>
      </c>
      <c r="V239" s="59" t="s">
        <v>4420</v>
      </c>
      <c r="W239" s="59" t="s">
        <v>5791</v>
      </c>
      <c r="X239" s="310" t="s">
        <v>4420</v>
      </c>
      <c r="Y239" s="310" t="s">
        <v>5791</v>
      </c>
      <c r="Z239" s="310" t="s">
        <v>4558</v>
      </c>
      <c r="AA239" s="18">
        <v>8</v>
      </c>
      <c r="AB239" s="223">
        <v>0</v>
      </c>
      <c r="AC239" s="18">
        <v>0</v>
      </c>
      <c r="AD239" s="301" t="s">
        <v>4345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1" t="s">
        <v>6336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20</v>
      </c>
      <c r="AS239" s="21">
        <v>200</v>
      </c>
      <c r="AT239" s="21">
        <v>275</v>
      </c>
      <c r="AU239" s="21">
        <f t="shared" si="121"/>
        <v>9.5</v>
      </c>
      <c r="AV239" s="21">
        <f t="shared" si="122"/>
        <v>9.5</v>
      </c>
      <c r="AW239" s="301" t="s">
        <v>5806</v>
      </c>
      <c r="AX239" s="310" t="s">
        <v>4717</v>
      </c>
      <c r="AY239" s="21">
        <f xml:space="preserve"> 100/AZ239/0.25</f>
        <v>25</v>
      </c>
      <c r="AZ239" s="310">
        <v>16</v>
      </c>
      <c r="BA239" s="310">
        <f t="shared" si="124"/>
        <v>157</v>
      </c>
      <c r="BB239" s="21">
        <f t="shared" si="132"/>
        <v>45.05</v>
      </c>
      <c r="BC239" s="21">
        <f t="shared" si="127"/>
        <v>45.05</v>
      </c>
      <c r="BD239" s="21">
        <v>0</v>
      </c>
      <c r="BE239" s="21">
        <v>90</v>
      </c>
      <c r="BF239" s="21">
        <f t="shared" si="125"/>
        <v>184.89999999999998</v>
      </c>
      <c r="BG239" s="15" t="s">
        <v>6318</v>
      </c>
      <c r="BH239" s="310" t="s">
        <v>6204</v>
      </c>
      <c r="BI239" s="310" t="s">
        <v>6204</v>
      </c>
      <c r="BJ239" s="310">
        <v>2</v>
      </c>
      <c r="BK239" s="310">
        <v>4</v>
      </c>
      <c r="BL239" s="196" t="s">
        <v>5791</v>
      </c>
      <c r="BM239" s="197" t="s">
        <v>5791</v>
      </c>
      <c r="BN239" s="197" t="s">
        <v>5791</v>
      </c>
      <c r="BO239" s="197" t="s">
        <v>5791</v>
      </c>
      <c r="BP239" s="197" t="s">
        <v>5791</v>
      </c>
      <c r="BQ239" s="197" t="s">
        <v>5791</v>
      </c>
      <c r="BR239" s="197" t="s">
        <v>5791</v>
      </c>
      <c r="BS239" s="197" t="s">
        <v>5791</v>
      </c>
      <c r="BT239" s="196" t="s">
        <v>5791</v>
      </c>
      <c r="BU239" s="197" t="s">
        <v>5791</v>
      </c>
      <c r="BV239" s="197" t="s">
        <v>5791</v>
      </c>
      <c r="BW239" s="197" t="s">
        <v>5791</v>
      </c>
      <c r="BX239" s="197" t="s">
        <v>5791</v>
      </c>
      <c r="BY239" s="197" t="s">
        <v>5791</v>
      </c>
      <c r="BZ239" s="212" t="s">
        <v>5791</v>
      </c>
      <c r="CA239" s="197" t="s">
        <v>5791</v>
      </c>
      <c r="CB239" s="197" t="s">
        <v>5791</v>
      </c>
      <c r="CC239" s="197" t="s">
        <v>5791</v>
      </c>
      <c r="CD239" s="197" t="s">
        <v>5791</v>
      </c>
      <c r="CE239" s="197" t="s">
        <v>5791</v>
      </c>
      <c r="CF239" s="212" t="s">
        <v>5791</v>
      </c>
      <c r="CG239" s="59" t="s">
        <v>5664</v>
      </c>
      <c r="CH239" s="59">
        <v>275</v>
      </c>
      <c r="CI239" s="33">
        <f>CI235</f>
        <v>283.14666666666665</v>
      </c>
      <c r="CJ239" s="59">
        <v>430</v>
      </c>
      <c r="CK239" s="33">
        <f>CK235</f>
        <v>468.12666666666672</v>
      </c>
      <c r="CL239" s="66">
        <v>200000</v>
      </c>
      <c r="CM239" s="59" t="s">
        <v>5664</v>
      </c>
      <c r="CN239" s="59">
        <v>275</v>
      </c>
      <c r="CO239" s="33">
        <f>CO238</f>
        <v>292.12666666666667</v>
      </c>
      <c r="CP239" s="59">
        <v>430</v>
      </c>
      <c r="CQ239" s="33">
        <f>CQ238</f>
        <v>414.62333333333328</v>
      </c>
      <c r="CR239" s="66">
        <v>200000</v>
      </c>
      <c r="CS239" s="59" t="s">
        <v>5664</v>
      </c>
      <c r="CT239" s="59">
        <v>275</v>
      </c>
      <c r="CU239" s="33">
        <f>CU238</f>
        <v>321.93</v>
      </c>
      <c r="CV239" s="59">
        <v>430</v>
      </c>
      <c r="CW239" s="33">
        <f>CW238</f>
        <v>458.51</v>
      </c>
      <c r="CX239" s="60">
        <v>200000</v>
      </c>
      <c r="CY239" s="201" t="s">
        <v>5791</v>
      </c>
      <c r="CZ239" s="202" t="s">
        <v>5791</v>
      </c>
      <c r="DA239" s="202" t="s">
        <v>5791</v>
      </c>
      <c r="DB239" s="203" t="s">
        <v>5791</v>
      </c>
      <c r="DC239" s="201" t="s">
        <v>5791</v>
      </c>
      <c r="DD239" s="202" t="s">
        <v>5791</v>
      </c>
      <c r="DE239" s="203" t="s">
        <v>5791</v>
      </c>
      <c r="DF239" s="274" t="s">
        <v>5791</v>
      </c>
      <c r="DG239" s="310">
        <v>8.8000000000000007</v>
      </c>
      <c r="DH239" s="310">
        <v>640</v>
      </c>
      <c r="DI239" s="59">
        <v>694</v>
      </c>
      <c r="DJ239" s="59">
        <v>800</v>
      </c>
      <c r="DK239" s="59">
        <v>849</v>
      </c>
      <c r="DL239" s="60">
        <v>200000</v>
      </c>
      <c r="DM239" s="40" t="s">
        <v>4758</v>
      </c>
      <c r="DN239" s="301" t="s">
        <v>4435</v>
      </c>
      <c r="DO239" s="306" t="s">
        <v>4565</v>
      </c>
    </row>
    <row r="240" spans="1:119">
      <c r="A240" s="301">
        <v>235</v>
      </c>
      <c r="B240" s="349"/>
      <c r="C240" s="349"/>
      <c r="D240" s="459"/>
      <c r="E240" s="374"/>
      <c r="F240" s="349"/>
      <c r="G240" s="369"/>
      <c r="H240" s="369"/>
      <c r="I240" s="369"/>
      <c r="J240" s="286" t="s">
        <v>5944</v>
      </c>
      <c r="K240" s="301" t="s">
        <v>6324</v>
      </c>
      <c r="L240" s="310" t="s">
        <v>6059</v>
      </c>
      <c r="M240" s="301" t="s">
        <v>4508</v>
      </c>
      <c r="N240" s="310" t="s">
        <v>4702</v>
      </c>
      <c r="O240" s="18" t="s">
        <v>4506</v>
      </c>
      <c r="P240" s="310" t="s">
        <v>6317</v>
      </c>
      <c r="Q240" s="310" t="s">
        <v>4420</v>
      </c>
      <c r="R240" s="310" t="s">
        <v>4420</v>
      </c>
      <c r="S240" s="310" t="s">
        <v>5791</v>
      </c>
      <c r="T240" s="59" t="s">
        <v>4420</v>
      </c>
      <c r="U240" s="59" t="s">
        <v>5791</v>
      </c>
      <c r="V240" s="59" t="s">
        <v>4420</v>
      </c>
      <c r="W240" s="59" t="s">
        <v>5791</v>
      </c>
      <c r="X240" s="310" t="s">
        <v>4420</v>
      </c>
      <c r="Y240" s="310" t="s">
        <v>5791</v>
      </c>
      <c r="Z240" s="310" t="s">
        <v>4558</v>
      </c>
      <c r="AA240" s="18">
        <v>8</v>
      </c>
      <c r="AB240" s="223">
        <v>0</v>
      </c>
      <c r="AC240" s="18">
        <v>0</v>
      </c>
      <c r="AD240" s="301" t="s">
        <v>4345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1" t="s">
        <v>6336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20</v>
      </c>
      <c r="AS240" s="21">
        <v>200</v>
      </c>
      <c r="AT240" s="21">
        <v>275</v>
      </c>
      <c r="AU240" s="21">
        <f t="shared" si="121"/>
        <v>9.5</v>
      </c>
      <c r="AV240" s="21">
        <f t="shared" si="122"/>
        <v>9.5</v>
      </c>
      <c r="AW240" s="301" t="s">
        <v>5806</v>
      </c>
      <c r="AX240" s="310" t="s">
        <v>4715</v>
      </c>
      <c r="AY240" s="21">
        <f t="shared" si="133"/>
        <v>12.5</v>
      </c>
      <c r="AZ240" s="310">
        <v>16</v>
      </c>
      <c r="BA240" s="310">
        <f t="shared" si="124"/>
        <v>157</v>
      </c>
      <c r="BB240" s="21">
        <f t="shared" si="132"/>
        <v>45.05</v>
      </c>
      <c r="BC240" s="21">
        <f t="shared" si="127"/>
        <v>45.05</v>
      </c>
      <c r="BD240" s="21">
        <v>0</v>
      </c>
      <c r="BE240" s="21">
        <v>90</v>
      </c>
      <c r="BF240" s="21">
        <f t="shared" si="125"/>
        <v>184.89999999999998</v>
      </c>
      <c r="BG240" s="15" t="s">
        <v>6318</v>
      </c>
      <c r="BH240" s="310" t="s">
        <v>6204</v>
      </c>
      <c r="BI240" s="310" t="s">
        <v>6204</v>
      </c>
      <c r="BJ240" s="310">
        <v>2</v>
      </c>
      <c r="BK240" s="310">
        <v>4</v>
      </c>
      <c r="BL240" s="196" t="s">
        <v>5791</v>
      </c>
      <c r="BM240" s="197" t="s">
        <v>5791</v>
      </c>
      <c r="BN240" s="197" t="s">
        <v>5791</v>
      </c>
      <c r="BO240" s="197" t="s">
        <v>5791</v>
      </c>
      <c r="BP240" s="197" t="s">
        <v>5791</v>
      </c>
      <c r="BQ240" s="197" t="s">
        <v>5791</v>
      </c>
      <c r="BR240" s="197" t="s">
        <v>5791</v>
      </c>
      <c r="BS240" s="197" t="s">
        <v>5791</v>
      </c>
      <c r="BT240" s="196" t="s">
        <v>5791</v>
      </c>
      <c r="BU240" s="197" t="s">
        <v>5791</v>
      </c>
      <c r="BV240" s="197" t="s">
        <v>5791</v>
      </c>
      <c r="BW240" s="197" t="s">
        <v>5791</v>
      </c>
      <c r="BX240" s="197" t="s">
        <v>5791</v>
      </c>
      <c r="BY240" s="197" t="s">
        <v>5791</v>
      </c>
      <c r="BZ240" s="212" t="s">
        <v>5791</v>
      </c>
      <c r="CA240" s="197" t="s">
        <v>5791</v>
      </c>
      <c r="CB240" s="197" t="s">
        <v>5791</v>
      </c>
      <c r="CC240" s="197" t="s">
        <v>5791</v>
      </c>
      <c r="CD240" s="197" t="s">
        <v>5791</v>
      </c>
      <c r="CE240" s="197" t="s">
        <v>5791</v>
      </c>
      <c r="CF240" s="212" t="s">
        <v>5791</v>
      </c>
      <c r="CG240" s="59" t="s">
        <v>5664</v>
      </c>
      <c r="CH240" s="59">
        <v>275</v>
      </c>
      <c r="CI240" s="33">
        <f>CI235</f>
        <v>283.14666666666665</v>
      </c>
      <c r="CJ240" s="59">
        <v>430</v>
      </c>
      <c r="CK240" s="33">
        <f>CK235</f>
        <v>468.12666666666672</v>
      </c>
      <c r="CL240" s="66">
        <v>200000</v>
      </c>
      <c r="CM240" s="59" t="s">
        <v>5664</v>
      </c>
      <c r="CN240" s="59">
        <v>275</v>
      </c>
      <c r="CO240" s="33">
        <f>CO238</f>
        <v>292.12666666666667</v>
      </c>
      <c r="CP240" s="59">
        <v>430</v>
      </c>
      <c r="CQ240" s="33">
        <f>CQ238</f>
        <v>414.62333333333328</v>
      </c>
      <c r="CR240" s="66">
        <v>200000</v>
      </c>
      <c r="CS240" s="59" t="s">
        <v>5664</v>
      </c>
      <c r="CT240" s="59">
        <v>275</v>
      </c>
      <c r="CU240" s="33">
        <f>CU238</f>
        <v>321.93</v>
      </c>
      <c r="CV240" s="59">
        <v>430</v>
      </c>
      <c r="CW240" s="33">
        <f>CW238</f>
        <v>458.51</v>
      </c>
      <c r="CX240" s="60">
        <v>200000</v>
      </c>
      <c r="CY240" s="201" t="s">
        <v>5791</v>
      </c>
      <c r="CZ240" s="202" t="s">
        <v>5791</v>
      </c>
      <c r="DA240" s="202" t="s">
        <v>5791</v>
      </c>
      <c r="DB240" s="203" t="s">
        <v>5791</v>
      </c>
      <c r="DC240" s="201" t="s">
        <v>5791</v>
      </c>
      <c r="DD240" s="202" t="s">
        <v>5791</v>
      </c>
      <c r="DE240" s="203" t="s">
        <v>5791</v>
      </c>
      <c r="DF240" s="274" t="s">
        <v>5791</v>
      </c>
      <c r="DG240" s="310">
        <v>8.8000000000000007</v>
      </c>
      <c r="DH240" s="310">
        <v>640</v>
      </c>
      <c r="DI240" s="59">
        <v>694</v>
      </c>
      <c r="DJ240" s="59">
        <v>800</v>
      </c>
      <c r="DK240" s="59">
        <v>849</v>
      </c>
      <c r="DL240" s="60">
        <v>200000</v>
      </c>
      <c r="DM240" s="40" t="s">
        <v>15</v>
      </c>
      <c r="DN240" s="301" t="s">
        <v>4435</v>
      </c>
      <c r="DO240" s="306" t="s">
        <v>4565</v>
      </c>
    </row>
    <row r="241" spans="1:119">
      <c r="A241" s="301">
        <v>236</v>
      </c>
      <c r="B241" s="349"/>
      <c r="C241" s="349"/>
      <c r="D241" s="459"/>
      <c r="E241" s="374"/>
      <c r="F241" s="349"/>
      <c r="G241" s="369"/>
      <c r="H241" s="369"/>
      <c r="I241" s="369"/>
      <c r="J241" s="286" t="s">
        <v>5945</v>
      </c>
      <c r="K241" s="301" t="s">
        <v>6320</v>
      </c>
      <c r="L241" s="310" t="s">
        <v>5791</v>
      </c>
      <c r="M241" s="301" t="s">
        <v>4508</v>
      </c>
      <c r="N241" s="310" t="s">
        <v>4702</v>
      </c>
      <c r="O241" s="18" t="s">
        <v>4506</v>
      </c>
      <c r="P241" s="310" t="s">
        <v>6317</v>
      </c>
      <c r="Q241" s="310" t="s">
        <v>4420</v>
      </c>
      <c r="R241" s="310" t="s">
        <v>4420</v>
      </c>
      <c r="S241" s="310" t="s">
        <v>5791</v>
      </c>
      <c r="T241" s="59" t="s">
        <v>4420</v>
      </c>
      <c r="U241" s="59" t="s">
        <v>5791</v>
      </c>
      <c r="V241" s="59" t="s">
        <v>4420</v>
      </c>
      <c r="W241" s="59" t="s">
        <v>5791</v>
      </c>
      <c r="X241" s="310" t="s">
        <v>4420</v>
      </c>
      <c r="Y241" s="310" t="s">
        <v>5791</v>
      </c>
      <c r="Z241" s="310" t="s">
        <v>4558</v>
      </c>
      <c r="AA241" s="18">
        <v>8</v>
      </c>
      <c r="AB241" s="223">
        <v>0</v>
      </c>
      <c r="AC241" s="18">
        <v>0</v>
      </c>
      <c r="AD241" s="301" t="s">
        <v>6334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1" t="s">
        <v>6336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10</v>
      </c>
      <c r="AS241" s="21">
        <v>200</v>
      </c>
      <c r="AT241" s="21">
        <v>275</v>
      </c>
      <c r="AU241" s="21">
        <f t="shared" si="121"/>
        <v>9.5</v>
      </c>
      <c r="AV241" s="21">
        <f t="shared" si="122"/>
        <v>9.5</v>
      </c>
      <c r="AW241" s="301" t="s">
        <v>5806</v>
      </c>
      <c r="AX241" s="310" t="s">
        <v>4715</v>
      </c>
      <c r="AY241" s="21">
        <f t="shared" si="133"/>
        <v>10</v>
      </c>
      <c r="AZ241" s="310">
        <v>20</v>
      </c>
      <c r="BA241" s="310">
        <f t="shared" si="124"/>
        <v>245</v>
      </c>
      <c r="BB241" s="21">
        <f t="shared" si="132"/>
        <v>45.05</v>
      </c>
      <c r="BC241" s="21">
        <f t="shared" si="127"/>
        <v>45.05</v>
      </c>
      <c r="BD241" s="21">
        <v>60</v>
      </c>
      <c r="BE241" s="21">
        <v>90</v>
      </c>
      <c r="BF241" s="21">
        <f t="shared" si="125"/>
        <v>124.89999999999998</v>
      </c>
      <c r="BG241" s="15" t="s">
        <v>6318</v>
      </c>
      <c r="BH241" s="310" t="s">
        <v>6204</v>
      </c>
      <c r="BI241" s="310" t="s">
        <v>6204</v>
      </c>
      <c r="BJ241" s="310">
        <v>2</v>
      </c>
      <c r="BK241" s="310">
        <v>4</v>
      </c>
      <c r="BL241" s="196" t="s">
        <v>5791</v>
      </c>
      <c r="BM241" s="197" t="s">
        <v>5791</v>
      </c>
      <c r="BN241" s="197" t="s">
        <v>5791</v>
      </c>
      <c r="BO241" s="197" t="s">
        <v>5791</v>
      </c>
      <c r="BP241" s="197" t="s">
        <v>5791</v>
      </c>
      <c r="BQ241" s="197" t="s">
        <v>5791</v>
      </c>
      <c r="BR241" s="197" t="s">
        <v>5791</v>
      </c>
      <c r="BS241" s="197" t="s">
        <v>5791</v>
      </c>
      <c r="BT241" s="196" t="s">
        <v>5791</v>
      </c>
      <c r="BU241" s="197" t="s">
        <v>5791</v>
      </c>
      <c r="BV241" s="197" t="s">
        <v>5791</v>
      </c>
      <c r="BW241" s="197" t="s">
        <v>5791</v>
      </c>
      <c r="BX241" s="197" t="s">
        <v>5791</v>
      </c>
      <c r="BY241" s="197" t="s">
        <v>5791</v>
      </c>
      <c r="BZ241" s="212" t="s">
        <v>5791</v>
      </c>
      <c r="CA241" s="197" t="s">
        <v>5791</v>
      </c>
      <c r="CB241" s="197" t="s">
        <v>5791</v>
      </c>
      <c r="CC241" s="197" t="s">
        <v>5791</v>
      </c>
      <c r="CD241" s="197" t="s">
        <v>5791</v>
      </c>
      <c r="CE241" s="197" t="s">
        <v>5791</v>
      </c>
      <c r="CF241" s="212" t="s">
        <v>5791</v>
      </c>
      <c r="CG241" s="59" t="s">
        <v>5664</v>
      </c>
      <c r="CH241" s="59">
        <v>275</v>
      </c>
      <c r="CI241" s="46">
        <f>(265.39+270.37)/2</f>
        <v>267.88</v>
      </c>
      <c r="CJ241" s="59">
        <v>430</v>
      </c>
      <c r="CK241" s="46">
        <f>(470.74+461.11)/2</f>
        <v>465.92500000000001</v>
      </c>
      <c r="CL241" s="139">
        <f>(210869.3+166656.1)/2</f>
        <v>188762.7</v>
      </c>
      <c r="CM241" s="59" t="s">
        <v>5664</v>
      </c>
      <c r="CN241" s="59">
        <v>275</v>
      </c>
      <c r="CO241" s="46">
        <f>(241.1+330.56)/2</f>
        <v>285.83</v>
      </c>
      <c r="CP241" s="59">
        <v>430</v>
      </c>
      <c r="CQ241" s="46">
        <f>(348.52+429.25)/2</f>
        <v>388.88499999999999</v>
      </c>
      <c r="CR241" s="68">
        <v>201698.5</v>
      </c>
      <c r="CS241" s="59" t="s">
        <v>5664</v>
      </c>
      <c r="CT241" s="59">
        <v>275</v>
      </c>
      <c r="CU241" s="46">
        <f>(317.16+310.78)/2</f>
        <v>313.97000000000003</v>
      </c>
      <c r="CV241" s="46">
        <v>430</v>
      </c>
      <c r="CW241" s="46">
        <f>(487.18+477.8)/2</f>
        <v>482.49</v>
      </c>
      <c r="CX241" s="96">
        <f>(194473.9+196650.4)/2</f>
        <v>195562.15</v>
      </c>
      <c r="CY241" s="201" t="s">
        <v>5791</v>
      </c>
      <c r="CZ241" s="202" t="s">
        <v>5791</v>
      </c>
      <c r="DA241" s="202" t="s">
        <v>5791</v>
      </c>
      <c r="DB241" s="203" t="s">
        <v>5791</v>
      </c>
      <c r="DC241" s="201" t="s">
        <v>5791</v>
      </c>
      <c r="DD241" s="202" t="s">
        <v>5791</v>
      </c>
      <c r="DE241" s="203" t="s">
        <v>5791</v>
      </c>
      <c r="DF241" s="274" t="s">
        <v>5791</v>
      </c>
      <c r="DG241" s="310">
        <v>8.8000000000000007</v>
      </c>
      <c r="DH241" s="310">
        <v>640</v>
      </c>
      <c r="DI241" s="59">
        <v>604</v>
      </c>
      <c r="DJ241" s="59">
        <v>800</v>
      </c>
      <c r="DK241" s="59">
        <v>749</v>
      </c>
      <c r="DL241" s="60">
        <v>200000</v>
      </c>
      <c r="DM241" s="40" t="s">
        <v>5842</v>
      </c>
      <c r="DN241" s="301" t="s">
        <v>4435</v>
      </c>
      <c r="DO241" s="306" t="s">
        <v>4565</v>
      </c>
    </row>
    <row r="242" spans="1:119">
      <c r="A242" s="301">
        <v>237</v>
      </c>
      <c r="B242" s="349"/>
      <c r="C242" s="349"/>
      <c r="D242" s="459"/>
      <c r="E242" s="374"/>
      <c r="F242" s="349"/>
      <c r="G242" s="369"/>
      <c r="H242" s="369"/>
      <c r="I242" s="369"/>
      <c r="J242" s="286" t="s">
        <v>5946</v>
      </c>
      <c r="K242" s="301" t="s">
        <v>6324</v>
      </c>
      <c r="L242" s="310" t="s">
        <v>6059</v>
      </c>
      <c r="M242" s="301" t="s">
        <v>4508</v>
      </c>
      <c r="N242" s="310" t="s">
        <v>4702</v>
      </c>
      <c r="O242" s="18" t="s">
        <v>4506</v>
      </c>
      <c r="P242" s="310" t="s">
        <v>6317</v>
      </c>
      <c r="Q242" s="310" t="s">
        <v>4420</v>
      </c>
      <c r="R242" s="310" t="s">
        <v>4420</v>
      </c>
      <c r="S242" s="310" t="s">
        <v>5791</v>
      </c>
      <c r="T242" s="59" t="s">
        <v>4420</v>
      </c>
      <c r="U242" s="59" t="s">
        <v>5791</v>
      </c>
      <c r="V242" s="59" t="s">
        <v>4420</v>
      </c>
      <c r="W242" s="59" t="s">
        <v>5791</v>
      </c>
      <c r="X242" s="310" t="s">
        <v>4420</v>
      </c>
      <c r="Y242" s="310" t="s">
        <v>5791</v>
      </c>
      <c r="Z242" s="310" t="s">
        <v>4558</v>
      </c>
      <c r="AA242" s="18">
        <v>8</v>
      </c>
      <c r="AB242" s="223">
        <v>0</v>
      </c>
      <c r="AC242" s="18">
        <v>0</v>
      </c>
      <c r="AD242" s="301" t="s">
        <v>6334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1" t="s">
        <v>6336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10</v>
      </c>
      <c r="AS242" s="21">
        <v>200</v>
      </c>
      <c r="AT242" s="21">
        <v>275</v>
      </c>
      <c r="AU242" s="21">
        <f t="shared" si="121"/>
        <v>9.5</v>
      </c>
      <c r="AV242" s="21">
        <f t="shared" si="122"/>
        <v>9.5</v>
      </c>
      <c r="AW242" s="301" t="s">
        <v>5806</v>
      </c>
      <c r="AX242" s="310" t="s">
        <v>4715</v>
      </c>
      <c r="AY242" s="21">
        <f t="shared" si="133"/>
        <v>10</v>
      </c>
      <c r="AZ242" s="310">
        <v>20</v>
      </c>
      <c r="BA242" s="310">
        <f t="shared" si="124"/>
        <v>245</v>
      </c>
      <c r="BB242" s="21">
        <f t="shared" si="132"/>
        <v>45.05</v>
      </c>
      <c r="BC242" s="21">
        <f t="shared" si="127"/>
        <v>45.05</v>
      </c>
      <c r="BD242" s="21">
        <v>60</v>
      </c>
      <c r="BE242" s="21">
        <v>90</v>
      </c>
      <c r="BF242" s="21">
        <f t="shared" si="125"/>
        <v>124.89999999999998</v>
      </c>
      <c r="BG242" s="15" t="s">
        <v>6318</v>
      </c>
      <c r="BH242" s="310" t="s">
        <v>6204</v>
      </c>
      <c r="BI242" s="310" t="s">
        <v>6204</v>
      </c>
      <c r="BJ242" s="310">
        <v>2</v>
      </c>
      <c r="BK242" s="310">
        <v>4</v>
      </c>
      <c r="BL242" s="196" t="s">
        <v>5791</v>
      </c>
      <c r="BM242" s="197" t="s">
        <v>5791</v>
      </c>
      <c r="BN242" s="197" t="s">
        <v>5791</v>
      </c>
      <c r="BO242" s="197" t="s">
        <v>5791</v>
      </c>
      <c r="BP242" s="197" t="s">
        <v>5791</v>
      </c>
      <c r="BQ242" s="197" t="s">
        <v>5791</v>
      </c>
      <c r="BR242" s="197" t="s">
        <v>5791</v>
      </c>
      <c r="BS242" s="197" t="s">
        <v>5791</v>
      </c>
      <c r="BT242" s="196" t="s">
        <v>5791</v>
      </c>
      <c r="BU242" s="197" t="s">
        <v>5791</v>
      </c>
      <c r="BV242" s="197" t="s">
        <v>5791</v>
      </c>
      <c r="BW242" s="197" t="s">
        <v>5791</v>
      </c>
      <c r="BX242" s="197" t="s">
        <v>5791</v>
      </c>
      <c r="BY242" s="197" t="s">
        <v>5791</v>
      </c>
      <c r="BZ242" s="212" t="s">
        <v>5791</v>
      </c>
      <c r="CA242" s="197" t="s">
        <v>5791</v>
      </c>
      <c r="CB242" s="197" t="s">
        <v>5791</v>
      </c>
      <c r="CC242" s="197" t="s">
        <v>5791</v>
      </c>
      <c r="CD242" s="197" t="s">
        <v>5791</v>
      </c>
      <c r="CE242" s="197" t="s">
        <v>5791</v>
      </c>
      <c r="CF242" s="212" t="s">
        <v>5791</v>
      </c>
      <c r="CG242" s="59" t="s">
        <v>5664</v>
      </c>
      <c r="CH242" s="59">
        <v>275</v>
      </c>
      <c r="CI242" s="33">
        <f>CI241</f>
        <v>267.88</v>
      </c>
      <c r="CJ242" s="59">
        <v>430</v>
      </c>
      <c r="CK242" s="33">
        <f>CK241</f>
        <v>465.92500000000001</v>
      </c>
      <c r="CL242" s="66">
        <f>CL241</f>
        <v>188762.7</v>
      </c>
      <c r="CM242" s="59" t="s">
        <v>5664</v>
      </c>
      <c r="CN242" s="59">
        <v>275</v>
      </c>
      <c r="CO242" s="33">
        <f>CO241</f>
        <v>285.83</v>
      </c>
      <c r="CP242" s="59">
        <v>430</v>
      </c>
      <c r="CQ242" s="33">
        <f>CQ241</f>
        <v>388.88499999999999</v>
      </c>
      <c r="CR242" s="66">
        <f>CR241</f>
        <v>201698.5</v>
      </c>
      <c r="CS242" s="59" t="s">
        <v>5664</v>
      </c>
      <c r="CT242" s="59">
        <v>275</v>
      </c>
      <c r="CU242" s="33">
        <f>(317.16+310.78)/2</f>
        <v>313.97000000000003</v>
      </c>
      <c r="CV242" s="59">
        <v>430</v>
      </c>
      <c r="CW242" s="33">
        <f>(487.18+477.8)/2</f>
        <v>482.49</v>
      </c>
      <c r="CX242" s="60">
        <f>(194473.9+196650.4)/2</f>
        <v>195562.15</v>
      </c>
      <c r="CY242" s="201" t="s">
        <v>5791</v>
      </c>
      <c r="CZ242" s="202" t="s">
        <v>5791</v>
      </c>
      <c r="DA242" s="202" t="s">
        <v>5791</v>
      </c>
      <c r="DB242" s="203" t="s">
        <v>5791</v>
      </c>
      <c r="DC242" s="201" t="s">
        <v>5791</v>
      </c>
      <c r="DD242" s="202" t="s">
        <v>5791</v>
      </c>
      <c r="DE242" s="203" t="s">
        <v>5791</v>
      </c>
      <c r="DF242" s="274" t="s">
        <v>5791</v>
      </c>
      <c r="DG242" s="310">
        <v>8.8000000000000007</v>
      </c>
      <c r="DH242" s="310">
        <v>640</v>
      </c>
      <c r="DI242" s="59">
        <v>604</v>
      </c>
      <c r="DJ242" s="59">
        <v>800</v>
      </c>
      <c r="DK242" s="59">
        <v>749</v>
      </c>
      <c r="DL242" s="60">
        <v>200000</v>
      </c>
      <c r="DM242" s="40" t="s">
        <v>5835</v>
      </c>
      <c r="DN242" s="301" t="s">
        <v>4435</v>
      </c>
      <c r="DO242" s="306" t="s">
        <v>4565</v>
      </c>
    </row>
    <row r="243" spans="1:119">
      <c r="A243" s="301">
        <v>238</v>
      </c>
      <c r="B243" s="349"/>
      <c r="C243" s="349"/>
      <c r="D243" s="459"/>
      <c r="E243" s="374"/>
      <c r="F243" s="349"/>
      <c r="G243" s="369"/>
      <c r="H243" s="369"/>
      <c r="I243" s="369"/>
      <c r="J243" s="286" t="s">
        <v>5947</v>
      </c>
      <c r="K243" s="301" t="s">
        <v>6324</v>
      </c>
      <c r="L243" s="310" t="s">
        <v>6059</v>
      </c>
      <c r="M243" s="301" t="s">
        <v>4508</v>
      </c>
      <c r="N243" s="310" t="s">
        <v>4702</v>
      </c>
      <c r="O243" s="18" t="s">
        <v>4506</v>
      </c>
      <c r="P243" s="310" t="s">
        <v>6317</v>
      </c>
      <c r="Q243" s="310" t="s">
        <v>4420</v>
      </c>
      <c r="R243" s="310" t="s">
        <v>4420</v>
      </c>
      <c r="S243" s="310" t="s">
        <v>5791</v>
      </c>
      <c r="T243" s="59" t="s">
        <v>4420</v>
      </c>
      <c r="U243" s="59" t="s">
        <v>5791</v>
      </c>
      <c r="V243" s="59" t="s">
        <v>4420</v>
      </c>
      <c r="W243" s="59" t="s">
        <v>5791</v>
      </c>
      <c r="X243" s="310" t="s">
        <v>4420</v>
      </c>
      <c r="Y243" s="310" t="s">
        <v>5791</v>
      </c>
      <c r="Z243" s="59" t="s">
        <v>4558</v>
      </c>
      <c r="AA243" s="140">
        <v>8</v>
      </c>
      <c r="AB243" s="223">
        <v>0</v>
      </c>
      <c r="AC243" s="18">
        <v>0</v>
      </c>
      <c r="AD243" s="301" t="s">
        <v>4345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1" t="s">
        <v>6336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15</v>
      </c>
      <c r="AS243" s="21">
        <v>200</v>
      </c>
      <c r="AT243" s="21">
        <v>275</v>
      </c>
      <c r="AU243" s="21">
        <f t="shared" si="121"/>
        <v>9.5</v>
      </c>
      <c r="AV243" s="21">
        <f t="shared" si="122"/>
        <v>9.5</v>
      </c>
      <c r="AW243" s="301" t="s">
        <v>5806</v>
      </c>
      <c r="AX243" s="310" t="s">
        <v>4715</v>
      </c>
      <c r="AY243" s="310">
        <f t="shared" si="133"/>
        <v>10</v>
      </c>
      <c r="AZ243" s="310">
        <v>20</v>
      </c>
      <c r="BA243" s="310">
        <f t="shared" si="124"/>
        <v>245</v>
      </c>
      <c r="BB243" s="21">
        <f t="shared" si="132"/>
        <v>45.05</v>
      </c>
      <c r="BC243" s="21">
        <f t="shared" si="127"/>
        <v>45.05</v>
      </c>
      <c r="BD243" s="21">
        <v>60</v>
      </c>
      <c r="BE243" s="21">
        <v>90</v>
      </c>
      <c r="BF243" s="21">
        <f t="shared" si="125"/>
        <v>124.89999999999998</v>
      </c>
      <c r="BG243" s="15" t="s">
        <v>6318</v>
      </c>
      <c r="BH243" s="310" t="s">
        <v>6204</v>
      </c>
      <c r="BI243" s="310" t="s">
        <v>6204</v>
      </c>
      <c r="BJ243" s="310">
        <v>2</v>
      </c>
      <c r="BK243" s="310">
        <v>4</v>
      </c>
      <c r="BL243" s="196" t="s">
        <v>5791</v>
      </c>
      <c r="BM243" s="197" t="s">
        <v>5791</v>
      </c>
      <c r="BN243" s="197" t="s">
        <v>5791</v>
      </c>
      <c r="BO243" s="197" t="s">
        <v>5791</v>
      </c>
      <c r="BP243" s="197" t="s">
        <v>5791</v>
      </c>
      <c r="BQ243" s="197" t="s">
        <v>5791</v>
      </c>
      <c r="BR243" s="197" t="s">
        <v>5791</v>
      </c>
      <c r="BS243" s="197" t="s">
        <v>5791</v>
      </c>
      <c r="BT243" s="196" t="s">
        <v>5791</v>
      </c>
      <c r="BU243" s="197" t="s">
        <v>5791</v>
      </c>
      <c r="BV243" s="197" t="s">
        <v>5791</v>
      </c>
      <c r="BW243" s="197" t="s">
        <v>5791</v>
      </c>
      <c r="BX243" s="197" t="s">
        <v>5791</v>
      </c>
      <c r="BY243" s="197" t="s">
        <v>5791</v>
      </c>
      <c r="BZ243" s="212" t="s">
        <v>5791</v>
      </c>
      <c r="CA243" s="197" t="s">
        <v>5791</v>
      </c>
      <c r="CB243" s="197" t="s">
        <v>5791</v>
      </c>
      <c r="CC243" s="197" t="s">
        <v>5791</v>
      </c>
      <c r="CD243" s="197" t="s">
        <v>5791</v>
      </c>
      <c r="CE243" s="197" t="s">
        <v>5791</v>
      </c>
      <c r="CF243" s="212" t="s">
        <v>5791</v>
      </c>
      <c r="CG243" s="59" t="s">
        <v>5664</v>
      </c>
      <c r="CH243" s="59">
        <v>275</v>
      </c>
      <c r="CI243" s="33">
        <f>CI242</f>
        <v>267.88</v>
      </c>
      <c r="CJ243" s="59">
        <v>430</v>
      </c>
      <c r="CK243" s="33">
        <f>CK242</f>
        <v>465.92500000000001</v>
      </c>
      <c r="CL243" s="66">
        <f>CL241</f>
        <v>188762.7</v>
      </c>
      <c r="CM243" s="59" t="s">
        <v>5664</v>
      </c>
      <c r="CN243" s="59">
        <v>275</v>
      </c>
      <c r="CO243" s="46">
        <f>CO245</f>
        <v>271.22500000000002</v>
      </c>
      <c r="CP243" s="59">
        <v>430</v>
      </c>
      <c r="CQ243" s="46">
        <f>CQ245</f>
        <v>430.21000000000004</v>
      </c>
      <c r="CR243" s="139">
        <f>CR245</f>
        <v>193940.4</v>
      </c>
      <c r="CS243" s="59" t="s">
        <v>5664</v>
      </c>
      <c r="CT243" s="59">
        <v>275</v>
      </c>
      <c r="CU243" s="46">
        <f>(304.87+272.88)/2</f>
        <v>288.875</v>
      </c>
      <c r="CV243" s="46">
        <v>430</v>
      </c>
      <c r="CW243" s="46">
        <f>(525.66+485.21)/2</f>
        <v>505.43499999999995</v>
      </c>
      <c r="CX243" s="139">
        <f>(209215.9+186593.3)/2</f>
        <v>197904.59999999998</v>
      </c>
      <c r="CY243" s="201" t="s">
        <v>5791</v>
      </c>
      <c r="CZ243" s="202" t="s">
        <v>5791</v>
      </c>
      <c r="DA243" s="202" t="s">
        <v>5791</v>
      </c>
      <c r="DB243" s="203" t="s">
        <v>5791</v>
      </c>
      <c r="DC243" s="201" t="s">
        <v>5791</v>
      </c>
      <c r="DD243" s="202" t="s">
        <v>5791</v>
      </c>
      <c r="DE243" s="203" t="s">
        <v>5791</v>
      </c>
      <c r="DF243" s="274" t="s">
        <v>5791</v>
      </c>
      <c r="DG243" s="310">
        <v>8.8000000000000007</v>
      </c>
      <c r="DH243" s="310">
        <v>640</v>
      </c>
      <c r="DI243" s="59">
        <v>604</v>
      </c>
      <c r="DJ243" s="59">
        <v>800</v>
      </c>
      <c r="DK243" s="59">
        <v>749</v>
      </c>
      <c r="DL243" s="60">
        <v>200000</v>
      </c>
      <c r="DM243" s="40" t="s">
        <v>4758</v>
      </c>
      <c r="DN243" s="301" t="s">
        <v>4435</v>
      </c>
      <c r="DO243" s="306" t="s">
        <v>4565</v>
      </c>
    </row>
    <row r="244" spans="1:119">
      <c r="A244" s="301">
        <v>239</v>
      </c>
      <c r="B244" s="349"/>
      <c r="C244" s="349"/>
      <c r="D244" s="459"/>
      <c r="E244" s="374"/>
      <c r="F244" s="349"/>
      <c r="G244" s="369"/>
      <c r="H244" s="369"/>
      <c r="I244" s="369"/>
      <c r="J244" s="286" t="s">
        <v>5948</v>
      </c>
      <c r="K244" s="301" t="s">
        <v>6324</v>
      </c>
      <c r="L244" s="310" t="s">
        <v>6059</v>
      </c>
      <c r="M244" s="301" t="s">
        <v>4508</v>
      </c>
      <c r="N244" s="310" t="s">
        <v>4702</v>
      </c>
      <c r="O244" s="18" t="s">
        <v>4506</v>
      </c>
      <c r="P244" s="310" t="s">
        <v>6317</v>
      </c>
      <c r="Q244" s="310" t="s">
        <v>4420</v>
      </c>
      <c r="R244" s="310" t="s">
        <v>4420</v>
      </c>
      <c r="S244" s="310" t="s">
        <v>5791</v>
      </c>
      <c r="T244" s="59" t="s">
        <v>4420</v>
      </c>
      <c r="U244" s="59" t="s">
        <v>5791</v>
      </c>
      <c r="V244" s="59" t="s">
        <v>4420</v>
      </c>
      <c r="W244" s="59" t="s">
        <v>5791</v>
      </c>
      <c r="X244" s="310" t="s">
        <v>4420</v>
      </c>
      <c r="Y244" s="310" t="s">
        <v>5791</v>
      </c>
      <c r="Z244" s="59" t="s">
        <v>4558</v>
      </c>
      <c r="AA244" s="140">
        <v>8</v>
      </c>
      <c r="AB244" s="223">
        <v>0</v>
      </c>
      <c r="AC244" s="18">
        <v>0</v>
      </c>
      <c r="AD244" s="301" t="s">
        <v>4345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1" t="s">
        <v>6336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15</v>
      </c>
      <c r="AS244" s="21">
        <v>200</v>
      </c>
      <c r="AT244" s="21">
        <v>275</v>
      </c>
      <c r="AU244" s="21">
        <f t="shared" si="121"/>
        <v>9.5</v>
      </c>
      <c r="AV244" s="21">
        <f t="shared" si="122"/>
        <v>9.5</v>
      </c>
      <c r="AW244" s="301" t="s">
        <v>5806</v>
      </c>
      <c r="AX244" s="310" t="s">
        <v>4715</v>
      </c>
      <c r="AY244" s="310">
        <f t="shared" si="133"/>
        <v>10</v>
      </c>
      <c r="AZ244" s="310">
        <v>20</v>
      </c>
      <c r="BA244" s="310">
        <f t="shared" si="124"/>
        <v>245</v>
      </c>
      <c r="BB244" s="21">
        <f t="shared" si="132"/>
        <v>45.05</v>
      </c>
      <c r="BC244" s="21">
        <f t="shared" si="127"/>
        <v>45.05</v>
      </c>
      <c r="BD244" s="21">
        <v>60</v>
      </c>
      <c r="BE244" s="21">
        <v>90</v>
      </c>
      <c r="BF244" s="21">
        <f t="shared" si="125"/>
        <v>124.89999999999998</v>
      </c>
      <c r="BG244" s="15" t="s">
        <v>6318</v>
      </c>
      <c r="BH244" s="310" t="s">
        <v>6204</v>
      </c>
      <c r="BI244" s="310" t="s">
        <v>6204</v>
      </c>
      <c r="BJ244" s="310">
        <v>2</v>
      </c>
      <c r="BK244" s="310">
        <v>4</v>
      </c>
      <c r="BL244" s="196" t="s">
        <v>5791</v>
      </c>
      <c r="BM244" s="197" t="s">
        <v>5791</v>
      </c>
      <c r="BN244" s="197" t="s">
        <v>5791</v>
      </c>
      <c r="BO244" s="197" t="s">
        <v>5791</v>
      </c>
      <c r="BP244" s="197" t="s">
        <v>5791</v>
      </c>
      <c r="BQ244" s="197" t="s">
        <v>5791</v>
      </c>
      <c r="BR244" s="197" t="s">
        <v>5791</v>
      </c>
      <c r="BS244" s="197" t="s">
        <v>5791</v>
      </c>
      <c r="BT244" s="196" t="s">
        <v>5791</v>
      </c>
      <c r="BU244" s="197" t="s">
        <v>5791</v>
      </c>
      <c r="BV244" s="197" t="s">
        <v>5791</v>
      </c>
      <c r="BW244" s="197" t="s">
        <v>5791</v>
      </c>
      <c r="BX244" s="197" t="s">
        <v>5791</v>
      </c>
      <c r="BY244" s="197" t="s">
        <v>5791</v>
      </c>
      <c r="BZ244" s="212" t="s">
        <v>5791</v>
      </c>
      <c r="CA244" s="197" t="s">
        <v>5791</v>
      </c>
      <c r="CB244" s="197" t="s">
        <v>5791</v>
      </c>
      <c r="CC244" s="197" t="s">
        <v>5791</v>
      </c>
      <c r="CD244" s="197" t="s">
        <v>5791</v>
      </c>
      <c r="CE244" s="197" t="s">
        <v>5791</v>
      </c>
      <c r="CF244" s="212" t="s">
        <v>5791</v>
      </c>
      <c r="CG244" s="59" t="s">
        <v>5664</v>
      </c>
      <c r="CH244" s="59">
        <v>275</v>
      </c>
      <c r="CI244" s="33">
        <f>CI243</f>
        <v>267.88</v>
      </c>
      <c r="CJ244" s="59">
        <v>430</v>
      </c>
      <c r="CK244" s="33">
        <f>CK243</f>
        <v>465.92500000000001</v>
      </c>
      <c r="CL244" s="66">
        <f>CL241</f>
        <v>188762.7</v>
      </c>
      <c r="CM244" s="59" t="s">
        <v>5664</v>
      </c>
      <c r="CN244" s="59">
        <v>275</v>
      </c>
      <c r="CO244" s="32">
        <v>360</v>
      </c>
      <c r="CP244" s="59">
        <v>430</v>
      </c>
      <c r="CQ244" s="32">
        <v>530</v>
      </c>
      <c r="CR244" s="66">
        <f>CR245</f>
        <v>193940.4</v>
      </c>
      <c r="CS244" s="59" t="s">
        <v>5664</v>
      </c>
      <c r="CT244" s="59">
        <v>275</v>
      </c>
      <c r="CU244" s="33">
        <f>(304.87+272.88)/2</f>
        <v>288.875</v>
      </c>
      <c r="CV244" s="46">
        <v>430</v>
      </c>
      <c r="CW244" s="33">
        <f>(525.66+485.21)/2</f>
        <v>505.43499999999995</v>
      </c>
      <c r="CX244" s="60">
        <f>(209215.9+186593.3)/2</f>
        <v>197904.59999999998</v>
      </c>
      <c r="CY244" s="201" t="s">
        <v>5791</v>
      </c>
      <c r="CZ244" s="202" t="s">
        <v>5791</v>
      </c>
      <c r="DA244" s="202" t="s">
        <v>5791</v>
      </c>
      <c r="DB244" s="203" t="s">
        <v>5791</v>
      </c>
      <c r="DC244" s="201" t="s">
        <v>5791</v>
      </c>
      <c r="DD244" s="202" t="s">
        <v>5791</v>
      </c>
      <c r="DE244" s="203" t="s">
        <v>5791</v>
      </c>
      <c r="DF244" s="274" t="s">
        <v>5791</v>
      </c>
      <c r="DG244" s="310">
        <v>8.8000000000000007</v>
      </c>
      <c r="DH244" s="310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4758</v>
      </c>
      <c r="DN244" s="301" t="s">
        <v>4435</v>
      </c>
      <c r="DO244" s="306" t="s">
        <v>4565</v>
      </c>
    </row>
    <row r="245" spans="1:119">
      <c r="A245" s="301">
        <v>240</v>
      </c>
      <c r="B245" s="349"/>
      <c r="C245" s="349"/>
      <c r="D245" s="459"/>
      <c r="E245" s="374"/>
      <c r="F245" s="349"/>
      <c r="G245" s="369"/>
      <c r="H245" s="369"/>
      <c r="I245" s="369"/>
      <c r="J245" s="286" t="s">
        <v>5949</v>
      </c>
      <c r="K245" s="301" t="s">
        <v>6320</v>
      </c>
      <c r="L245" s="310" t="s">
        <v>5791</v>
      </c>
      <c r="M245" s="301" t="s">
        <v>4508</v>
      </c>
      <c r="N245" s="310" t="s">
        <v>4702</v>
      </c>
      <c r="O245" s="18" t="s">
        <v>4506</v>
      </c>
      <c r="P245" s="310" t="s">
        <v>6317</v>
      </c>
      <c r="Q245" s="310" t="s">
        <v>4420</v>
      </c>
      <c r="R245" s="310" t="s">
        <v>4420</v>
      </c>
      <c r="S245" s="310" t="s">
        <v>5791</v>
      </c>
      <c r="T245" s="59" t="s">
        <v>4420</v>
      </c>
      <c r="U245" s="59" t="s">
        <v>5791</v>
      </c>
      <c r="V245" s="59" t="s">
        <v>4420</v>
      </c>
      <c r="W245" s="59" t="s">
        <v>5791</v>
      </c>
      <c r="X245" s="310" t="s">
        <v>4420</v>
      </c>
      <c r="Y245" s="310" t="s">
        <v>5791</v>
      </c>
      <c r="Z245" s="59" t="s">
        <v>4558</v>
      </c>
      <c r="AA245" s="140">
        <v>8</v>
      </c>
      <c r="AB245" s="223">
        <v>0</v>
      </c>
      <c r="AC245" s="18">
        <v>0</v>
      </c>
      <c r="AD245" s="301" t="s">
        <v>6321</v>
      </c>
      <c r="AE245" s="21">
        <f>INDEX('[2]Cross-Section Database'!$C$2:$V$2928,MATCH(AD245,'[2]Cross-Section Database'!$B$2:$B$2928,0),3)</f>
        <v>206.2</v>
      </c>
      <c r="AF245" s="21">
        <f>INDEX('[2]Cross-Section Database'!$C$2:$V$2928,MATCH(AD245,'[2]Cross-Section Database'!$B$2:$B$2928,0),4)</f>
        <v>204.3</v>
      </c>
      <c r="AG245" s="21">
        <f>INDEX('[2]Cross-Section Database'!$C$2:$V$2928,MATCH(AD245,'[2]Cross-Section Database'!$B$2:$B$2928,0),6)</f>
        <v>12.5</v>
      </c>
      <c r="AH245" s="21">
        <f>INDEX('[2]Cross-Section Database'!$C$2:$V$2928,MATCH(AD245,'[2]Cross-Section Database'!$B$2:$B$2928,0),5)</f>
        <v>7.9</v>
      </c>
      <c r="AI245" s="21">
        <v>1000</v>
      </c>
      <c r="AJ245" s="301" t="s">
        <v>6336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12</v>
      </c>
      <c r="AS245" s="21">
        <v>200</v>
      </c>
      <c r="AT245" s="21">
        <v>275</v>
      </c>
      <c r="AU245" s="21">
        <f t="shared" si="121"/>
        <v>9.5</v>
      </c>
      <c r="AV245" s="21">
        <f t="shared" si="122"/>
        <v>9.5</v>
      </c>
      <c r="AW245" s="301" t="s">
        <v>5806</v>
      </c>
      <c r="AX245" s="310" t="s">
        <v>4715</v>
      </c>
      <c r="AY245" s="310">
        <f t="shared" si="133"/>
        <v>10</v>
      </c>
      <c r="AZ245" s="310">
        <v>20</v>
      </c>
      <c r="BA245" s="310">
        <f t="shared" si="124"/>
        <v>245</v>
      </c>
      <c r="BB245" s="21">
        <f t="shared" si="132"/>
        <v>45.05</v>
      </c>
      <c r="BC245" s="21">
        <f t="shared" si="127"/>
        <v>45.05</v>
      </c>
      <c r="BD245" s="21">
        <v>60</v>
      </c>
      <c r="BE245" s="21">
        <v>90</v>
      </c>
      <c r="BF245" s="21">
        <f t="shared" si="125"/>
        <v>124.89999999999998</v>
      </c>
      <c r="BG245" s="15" t="s">
        <v>6318</v>
      </c>
      <c r="BH245" s="310" t="s">
        <v>6204</v>
      </c>
      <c r="BI245" s="310" t="s">
        <v>6204</v>
      </c>
      <c r="BJ245" s="310">
        <v>2</v>
      </c>
      <c r="BK245" s="310">
        <v>4</v>
      </c>
      <c r="BL245" s="196" t="s">
        <v>5791</v>
      </c>
      <c r="BM245" s="197" t="s">
        <v>5791</v>
      </c>
      <c r="BN245" s="197" t="s">
        <v>5791</v>
      </c>
      <c r="BO245" s="197" t="s">
        <v>5791</v>
      </c>
      <c r="BP245" s="197" t="s">
        <v>5791</v>
      </c>
      <c r="BQ245" s="197" t="s">
        <v>5791</v>
      </c>
      <c r="BR245" s="197" t="s">
        <v>5791</v>
      </c>
      <c r="BS245" s="197" t="s">
        <v>5791</v>
      </c>
      <c r="BT245" s="196" t="s">
        <v>5791</v>
      </c>
      <c r="BU245" s="197" t="s">
        <v>5791</v>
      </c>
      <c r="BV245" s="197" t="s">
        <v>5791</v>
      </c>
      <c r="BW245" s="197" t="s">
        <v>5791</v>
      </c>
      <c r="BX245" s="197" t="s">
        <v>5791</v>
      </c>
      <c r="BY245" s="197" t="s">
        <v>5791</v>
      </c>
      <c r="BZ245" s="212" t="s">
        <v>5791</v>
      </c>
      <c r="CA245" s="197" t="s">
        <v>5791</v>
      </c>
      <c r="CB245" s="197" t="s">
        <v>5791</v>
      </c>
      <c r="CC245" s="197" t="s">
        <v>5791</v>
      </c>
      <c r="CD245" s="197" t="s">
        <v>5791</v>
      </c>
      <c r="CE245" s="197" t="s">
        <v>5791</v>
      </c>
      <c r="CF245" s="212" t="s">
        <v>5791</v>
      </c>
      <c r="CG245" s="59" t="s">
        <v>5664</v>
      </c>
      <c r="CH245" s="59">
        <v>275</v>
      </c>
      <c r="CI245" s="46">
        <f>(340.28+311.71)/2</f>
        <v>325.995</v>
      </c>
      <c r="CJ245" s="59">
        <v>430</v>
      </c>
      <c r="CK245" s="46">
        <f>(508.55+389.08)/2</f>
        <v>448.815</v>
      </c>
      <c r="CL245" s="139">
        <f>(202745+199174.5)/2</f>
        <v>200959.75</v>
      </c>
      <c r="CM245" s="59" t="s">
        <v>5664</v>
      </c>
      <c r="CN245" s="59">
        <v>275</v>
      </c>
      <c r="CO245" s="46">
        <f>(235.62+306.83)/2</f>
        <v>271.22500000000002</v>
      </c>
      <c r="CP245" s="59">
        <v>430</v>
      </c>
      <c r="CQ245" s="46">
        <f>(410.41+450.01)/2</f>
        <v>430.21000000000004</v>
      </c>
      <c r="CR245" s="68">
        <v>193940.4</v>
      </c>
      <c r="CS245" s="59" t="s">
        <v>5664</v>
      </c>
      <c r="CT245" s="59">
        <v>275</v>
      </c>
      <c r="CU245" s="46">
        <v>287.33999999999997</v>
      </c>
      <c r="CV245" s="46">
        <v>430</v>
      </c>
      <c r="CW245" s="46">
        <v>397.15</v>
      </c>
      <c r="CX245" s="96">
        <v>200136.4</v>
      </c>
      <c r="CY245" s="201" t="s">
        <v>5791</v>
      </c>
      <c r="CZ245" s="202" t="s">
        <v>5791</v>
      </c>
      <c r="DA245" s="202" t="s">
        <v>5791</v>
      </c>
      <c r="DB245" s="203" t="s">
        <v>5791</v>
      </c>
      <c r="DC245" s="201" t="s">
        <v>5791</v>
      </c>
      <c r="DD245" s="202" t="s">
        <v>5791</v>
      </c>
      <c r="DE245" s="203" t="s">
        <v>5791</v>
      </c>
      <c r="DF245" s="274" t="s">
        <v>5791</v>
      </c>
      <c r="DG245" s="310">
        <v>8.8000000000000007</v>
      </c>
      <c r="DH245" s="310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29" t="s">
        <v>4764</v>
      </c>
      <c r="DN245" s="301" t="s">
        <v>4435</v>
      </c>
      <c r="DO245" s="306" t="s">
        <v>4565</v>
      </c>
    </row>
    <row r="246" spans="1:119">
      <c r="A246" s="301">
        <v>241</v>
      </c>
      <c r="B246" s="349"/>
      <c r="C246" s="349"/>
      <c r="D246" s="459"/>
      <c r="E246" s="374"/>
      <c r="F246" s="349"/>
      <c r="G246" s="369"/>
      <c r="H246" s="369"/>
      <c r="I246" s="369"/>
      <c r="J246" s="286" t="s">
        <v>5950</v>
      </c>
      <c r="K246" s="301" t="s">
        <v>6324</v>
      </c>
      <c r="L246" s="310" t="s">
        <v>6059</v>
      </c>
      <c r="M246" s="301" t="s">
        <v>4508</v>
      </c>
      <c r="N246" s="310" t="s">
        <v>4702</v>
      </c>
      <c r="O246" s="18" t="s">
        <v>4506</v>
      </c>
      <c r="P246" s="310" t="s">
        <v>6317</v>
      </c>
      <c r="Q246" s="310" t="s">
        <v>4420</v>
      </c>
      <c r="R246" s="310" t="s">
        <v>4420</v>
      </c>
      <c r="S246" s="310" t="s">
        <v>5791</v>
      </c>
      <c r="T246" s="59" t="s">
        <v>4420</v>
      </c>
      <c r="U246" s="59" t="s">
        <v>5791</v>
      </c>
      <c r="V246" s="59" t="s">
        <v>4420</v>
      </c>
      <c r="W246" s="59" t="s">
        <v>5791</v>
      </c>
      <c r="X246" s="310" t="s">
        <v>4420</v>
      </c>
      <c r="Y246" s="310" t="s">
        <v>5791</v>
      </c>
      <c r="Z246" s="59" t="s">
        <v>4558</v>
      </c>
      <c r="AA246" s="140">
        <v>8</v>
      </c>
      <c r="AB246" s="223">
        <v>0</v>
      </c>
      <c r="AC246" s="18">
        <v>0</v>
      </c>
      <c r="AD246" s="301" t="s">
        <v>6321</v>
      </c>
      <c r="AE246" s="21">
        <f>INDEX('[2]Cross-Section Database'!$C$2:$V$2928,MATCH(AD246,'[2]Cross-Section Database'!$B$2:$B$2928,0),3)</f>
        <v>206.2</v>
      </c>
      <c r="AF246" s="21">
        <f>INDEX('[2]Cross-Section Database'!$C$2:$V$2928,MATCH(AD246,'[2]Cross-Section Database'!$B$2:$B$2928,0),4)</f>
        <v>204.3</v>
      </c>
      <c r="AG246" s="21">
        <f>INDEX('[2]Cross-Section Database'!$C$2:$V$2928,MATCH(AD246,'[2]Cross-Section Database'!$B$2:$B$2928,0),6)</f>
        <v>12.5</v>
      </c>
      <c r="AH246" s="21">
        <f>INDEX('[2]Cross-Section Database'!$C$2:$V$2928,MATCH(AD246,'[2]Cross-Section Database'!$B$2:$B$2928,0),5)</f>
        <v>7.9</v>
      </c>
      <c r="AI246" s="21">
        <v>1000</v>
      </c>
      <c r="AJ246" s="301" t="s">
        <v>6336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12</v>
      </c>
      <c r="AS246" s="21">
        <v>200</v>
      </c>
      <c r="AT246" s="21">
        <v>275</v>
      </c>
      <c r="AU246" s="21">
        <f t="shared" si="121"/>
        <v>9.5</v>
      </c>
      <c r="AV246" s="21">
        <f t="shared" si="122"/>
        <v>9.5</v>
      </c>
      <c r="AW246" s="301" t="s">
        <v>5806</v>
      </c>
      <c r="AX246" s="310" t="s">
        <v>4715</v>
      </c>
      <c r="AY246" s="310">
        <f t="shared" si="133"/>
        <v>10</v>
      </c>
      <c r="AZ246" s="310">
        <v>20</v>
      </c>
      <c r="BA246" s="310">
        <f t="shared" si="124"/>
        <v>245</v>
      </c>
      <c r="BB246" s="21">
        <f t="shared" si="132"/>
        <v>45.05</v>
      </c>
      <c r="BC246" s="21">
        <f t="shared" si="127"/>
        <v>45.05</v>
      </c>
      <c r="BD246" s="21">
        <v>60</v>
      </c>
      <c r="BE246" s="21">
        <v>90</v>
      </c>
      <c r="BF246" s="21">
        <f t="shared" si="125"/>
        <v>124.89999999999998</v>
      </c>
      <c r="BG246" s="15" t="s">
        <v>6318</v>
      </c>
      <c r="BH246" s="310" t="s">
        <v>6204</v>
      </c>
      <c r="BI246" s="310" t="s">
        <v>6204</v>
      </c>
      <c r="BJ246" s="310">
        <v>2</v>
      </c>
      <c r="BK246" s="310">
        <v>4</v>
      </c>
      <c r="BL246" s="196" t="s">
        <v>5791</v>
      </c>
      <c r="BM246" s="197" t="s">
        <v>5791</v>
      </c>
      <c r="BN246" s="197" t="s">
        <v>5791</v>
      </c>
      <c r="BO246" s="197" t="s">
        <v>5791</v>
      </c>
      <c r="BP246" s="197" t="s">
        <v>5791</v>
      </c>
      <c r="BQ246" s="197" t="s">
        <v>5791</v>
      </c>
      <c r="BR246" s="197" t="s">
        <v>5791</v>
      </c>
      <c r="BS246" s="197" t="s">
        <v>5791</v>
      </c>
      <c r="BT246" s="196" t="s">
        <v>5791</v>
      </c>
      <c r="BU246" s="197" t="s">
        <v>5791</v>
      </c>
      <c r="BV246" s="197" t="s">
        <v>5791</v>
      </c>
      <c r="BW246" s="197" t="s">
        <v>5791</v>
      </c>
      <c r="BX246" s="197" t="s">
        <v>5791</v>
      </c>
      <c r="BY246" s="197" t="s">
        <v>5791</v>
      </c>
      <c r="BZ246" s="212" t="s">
        <v>5791</v>
      </c>
      <c r="CA246" s="197" t="s">
        <v>5791</v>
      </c>
      <c r="CB246" s="197" t="s">
        <v>5791</v>
      </c>
      <c r="CC246" s="197" t="s">
        <v>5791</v>
      </c>
      <c r="CD246" s="197" t="s">
        <v>5791</v>
      </c>
      <c r="CE246" s="197" t="s">
        <v>5791</v>
      </c>
      <c r="CF246" s="212" t="s">
        <v>5791</v>
      </c>
      <c r="CG246" s="59" t="s">
        <v>5664</v>
      </c>
      <c r="CH246" s="59">
        <v>275</v>
      </c>
      <c r="CI246" s="33">
        <f>CI245</f>
        <v>325.995</v>
      </c>
      <c r="CJ246" s="59">
        <v>430</v>
      </c>
      <c r="CK246" s="33">
        <f>CK245</f>
        <v>448.815</v>
      </c>
      <c r="CL246" s="66">
        <f>CL245</f>
        <v>200959.75</v>
      </c>
      <c r="CM246" s="59" t="s">
        <v>5664</v>
      </c>
      <c r="CN246" s="59">
        <v>275</v>
      </c>
      <c r="CO246" s="33">
        <f>CO245</f>
        <v>271.22500000000002</v>
      </c>
      <c r="CP246" s="59">
        <v>430</v>
      </c>
      <c r="CQ246" s="33">
        <f>CQ245</f>
        <v>430.21000000000004</v>
      </c>
      <c r="CR246" s="66">
        <f>CR245</f>
        <v>193940.4</v>
      </c>
      <c r="CS246" s="59" t="s">
        <v>5664</v>
      </c>
      <c r="CT246" s="59">
        <v>275</v>
      </c>
      <c r="CU246" s="33">
        <v>287.33999999999997</v>
      </c>
      <c r="CV246" s="46">
        <v>430</v>
      </c>
      <c r="CW246" s="33">
        <v>397.15</v>
      </c>
      <c r="CX246" s="60">
        <v>200136.4</v>
      </c>
      <c r="CY246" s="201" t="s">
        <v>5791</v>
      </c>
      <c r="CZ246" s="202" t="s">
        <v>5791</v>
      </c>
      <c r="DA246" s="202" t="s">
        <v>5791</v>
      </c>
      <c r="DB246" s="203" t="s">
        <v>5791</v>
      </c>
      <c r="DC246" s="201" t="s">
        <v>5791</v>
      </c>
      <c r="DD246" s="202" t="s">
        <v>5791</v>
      </c>
      <c r="DE246" s="203" t="s">
        <v>5791</v>
      </c>
      <c r="DF246" s="274" t="s">
        <v>5791</v>
      </c>
      <c r="DG246" s="310">
        <v>8.8000000000000007</v>
      </c>
      <c r="DH246" s="310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29" t="s">
        <v>4796</v>
      </c>
      <c r="DN246" s="301" t="s">
        <v>4435</v>
      </c>
      <c r="DO246" s="306" t="s">
        <v>4565</v>
      </c>
    </row>
    <row r="247" spans="1:119">
      <c r="A247" s="301">
        <v>242</v>
      </c>
      <c r="B247" s="349"/>
      <c r="C247" s="349"/>
      <c r="D247" s="459"/>
      <c r="E247" s="374"/>
      <c r="F247" s="349"/>
      <c r="G247" s="369"/>
      <c r="H247" s="369"/>
      <c r="I247" s="369"/>
      <c r="J247" s="286" t="s">
        <v>5951</v>
      </c>
      <c r="K247" s="301" t="s">
        <v>6320</v>
      </c>
      <c r="L247" s="310" t="s">
        <v>5791</v>
      </c>
      <c r="M247" s="301" t="s">
        <v>4508</v>
      </c>
      <c r="N247" s="310" t="s">
        <v>4702</v>
      </c>
      <c r="O247" s="18" t="s">
        <v>4506</v>
      </c>
      <c r="P247" s="310" t="s">
        <v>6317</v>
      </c>
      <c r="Q247" s="310" t="s">
        <v>4420</v>
      </c>
      <c r="R247" s="310" t="s">
        <v>4420</v>
      </c>
      <c r="S247" s="310" t="s">
        <v>5791</v>
      </c>
      <c r="T247" s="59" t="s">
        <v>4420</v>
      </c>
      <c r="U247" s="59" t="s">
        <v>5791</v>
      </c>
      <c r="V247" s="59" t="s">
        <v>4420</v>
      </c>
      <c r="W247" s="59" t="s">
        <v>5791</v>
      </c>
      <c r="X247" s="310" t="s">
        <v>4420</v>
      </c>
      <c r="Y247" s="310" t="s">
        <v>5791</v>
      </c>
      <c r="Z247" s="59" t="s">
        <v>4558</v>
      </c>
      <c r="AA247" s="140">
        <v>8</v>
      </c>
      <c r="AB247" s="223">
        <v>0</v>
      </c>
      <c r="AC247" s="18">
        <v>0</v>
      </c>
      <c r="AD247" s="301" t="s">
        <v>4345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1" t="s">
        <v>6336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12</v>
      </c>
      <c r="AS247" s="21">
        <v>200</v>
      </c>
      <c r="AT247" s="21">
        <v>275</v>
      </c>
      <c r="AU247" s="21">
        <f t="shared" si="121"/>
        <v>9.5</v>
      </c>
      <c r="AV247" s="21">
        <f t="shared" si="122"/>
        <v>9.5</v>
      </c>
      <c r="AW247" s="301" t="s">
        <v>5806</v>
      </c>
      <c r="AX247" s="310" t="s">
        <v>4562</v>
      </c>
      <c r="AY247" s="310">
        <f xml:space="preserve"> 200/AZ247/0.25</f>
        <v>40</v>
      </c>
      <c r="AZ247" s="310">
        <v>20</v>
      </c>
      <c r="BA247" s="310">
        <f t="shared" si="124"/>
        <v>245</v>
      </c>
      <c r="BB247" s="21">
        <f t="shared" si="132"/>
        <v>45.05</v>
      </c>
      <c r="BC247" s="21">
        <f t="shared" si="127"/>
        <v>45.05</v>
      </c>
      <c r="BD247" s="21">
        <v>60</v>
      </c>
      <c r="BE247" s="21">
        <v>90</v>
      </c>
      <c r="BF247" s="21">
        <f t="shared" si="125"/>
        <v>124.89999999999998</v>
      </c>
      <c r="BG247" s="15" t="s">
        <v>6318</v>
      </c>
      <c r="BH247" s="310" t="s">
        <v>6204</v>
      </c>
      <c r="BI247" s="310" t="s">
        <v>6204</v>
      </c>
      <c r="BJ247" s="310">
        <v>2</v>
      </c>
      <c r="BK247" s="310">
        <v>4</v>
      </c>
      <c r="BL247" s="196" t="s">
        <v>5791</v>
      </c>
      <c r="BM247" s="197" t="s">
        <v>5791</v>
      </c>
      <c r="BN247" s="197" t="s">
        <v>5791</v>
      </c>
      <c r="BO247" s="197" t="s">
        <v>5791</v>
      </c>
      <c r="BP247" s="197" t="s">
        <v>5791</v>
      </c>
      <c r="BQ247" s="197" t="s">
        <v>5791</v>
      </c>
      <c r="BR247" s="197" t="s">
        <v>5791</v>
      </c>
      <c r="BS247" s="197" t="s">
        <v>5791</v>
      </c>
      <c r="BT247" s="196" t="s">
        <v>5791</v>
      </c>
      <c r="BU247" s="197" t="s">
        <v>5791</v>
      </c>
      <c r="BV247" s="197" t="s">
        <v>5791</v>
      </c>
      <c r="BW247" s="197" t="s">
        <v>5791</v>
      </c>
      <c r="BX247" s="197" t="s">
        <v>5791</v>
      </c>
      <c r="BY247" s="197" t="s">
        <v>5791</v>
      </c>
      <c r="BZ247" s="212" t="s">
        <v>5791</v>
      </c>
      <c r="CA247" s="197" t="s">
        <v>5791</v>
      </c>
      <c r="CB247" s="197" t="s">
        <v>5791</v>
      </c>
      <c r="CC247" s="197" t="s">
        <v>5791</v>
      </c>
      <c r="CD247" s="197" t="s">
        <v>5791</v>
      </c>
      <c r="CE247" s="197" t="s">
        <v>5791</v>
      </c>
      <c r="CF247" s="212" t="s">
        <v>5791</v>
      </c>
      <c r="CG247" s="59" t="s">
        <v>5664</v>
      </c>
      <c r="CH247" s="59">
        <v>275</v>
      </c>
      <c r="CI247" s="46">
        <f>(254.25+271.12)/2</f>
        <v>262.685</v>
      </c>
      <c r="CJ247" s="59">
        <v>430</v>
      </c>
      <c r="CK247" s="46">
        <f>(469.13+457.67)/2</f>
        <v>463.4</v>
      </c>
      <c r="CL247" s="139">
        <f>(228039.1+180155)/2</f>
        <v>204097.05</v>
      </c>
      <c r="CM247" s="59" t="s">
        <v>5664</v>
      </c>
      <c r="CN247" s="59">
        <v>275</v>
      </c>
      <c r="CO247" s="46">
        <f>(254.25+271.12)/2</f>
        <v>262.685</v>
      </c>
      <c r="CP247" s="59">
        <v>430</v>
      </c>
      <c r="CQ247" s="46">
        <f>(469.13+457.67)/2</f>
        <v>463.4</v>
      </c>
      <c r="CR247" s="68">
        <v>204097</v>
      </c>
      <c r="CS247" s="59" t="s">
        <v>5664</v>
      </c>
      <c r="CT247" s="59">
        <v>275</v>
      </c>
      <c r="CU247" s="46">
        <v>224.25</v>
      </c>
      <c r="CV247" s="46">
        <v>430</v>
      </c>
      <c r="CW247" s="46">
        <v>350.12</v>
      </c>
      <c r="CX247" s="60">
        <v>200000</v>
      </c>
      <c r="CY247" s="201" t="s">
        <v>5791</v>
      </c>
      <c r="CZ247" s="202" t="s">
        <v>5791</v>
      </c>
      <c r="DA247" s="202" t="s">
        <v>5791</v>
      </c>
      <c r="DB247" s="203" t="s">
        <v>5791</v>
      </c>
      <c r="DC247" s="201" t="s">
        <v>5791</v>
      </c>
      <c r="DD247" s="202" t="s">
        <v>5791</v>
      </c>
      <c r="DE247" s="203" t="s">
        <v>5791</v>
      </c>
      <c r="DF247" s="274" t="s">
        <v>5791</v>
      </c>
      <c r="DG247" s="310">
        <v>10.9</v>
      </c>
      <c r="DH247" s="310">
        <v>900</v>
      </c>
      <c r="DI247" s="59">
        <v>918</v>
      </c>
      <c r="DJ247" s="59">
        <v>1000</v>
      </c>
      <c r="DK247" s="59">
        <v>1040</v>
      </c>
      <c r="DL247" s="60">
        <v>200000</v>
      </c>
      <c r="DM247" s="29" t="s">
        <v>5831</v>
      </c>
      <c r="DN247" s="301" t="s">
        <v>4435</v>
      </c>
      <c r="DO247" s="306" t="s">
        <v>4565</v>
      </c>
    </row>
    <row r="248" spans="1:119" ht="15.6" customHeight="1" thickBot="1">
      <c r="A248" s="301">
        <v>243</v>
      </c>
      <c r="B248" s="350"/>
      <c r="C248" s="350"/>
      <c r="D248" s="460"/>
      <c r="E248" s="375"/>
      <c r="F248" s="350"/>
      <c r="G248" s="370"/>
      <c r="H248" s="370"/>
      <c r="I248" s="370"/>
      <c r="J248" s="286" t="s">
        <v>5952</v>
      </c>
      <c r="K248" s="301" t="s">
        <v>6324</v>
      </c>
      <c r="L248" s="310" t="s">
        <v>6059</v>
      </c>
      <c r="M248" s="301" t="s">
        <v>4508</v>
      </c>
      <c r="N248" s="310" t="s">
        <v>4702</v>
      </c>
      <c r="O248" s="18" t="s">
        <v>4506</v>
      </c>
      <c r="P248" s="310" t="s">
        <v>6317</v>
      </c>
      <c r="Q248" s="310" t="s">
        <v>4420</v>
      </c>
      <c r="R248" s="310" t="s">
        <v>4420</v>
      </c>
      <c r="S248" s="310" t="s">
        <v>5791</v>
      </c>
      <c r="T248" s="59" t="s">
        <v>4420</v>
      </c>
      <c r="U248" s="59" t="s">
        <v>5791</v>
      </c>
      <c r="V248" s="59" t="s">
        <v>4420</v>
      </c>
      <c r="W248" s="59" t="s">
        <v>5791</v>
      </c>
      <c r="X248" s="310" t="s">
        <v>4420</v>
      </c>
      <c r="Y248" s="310" t="s">
        <v>5791</v>
      </c>
      <c r="Z248" s="59" t="s">
        <v>4558</v>
      </c>
      <c r="AA248" s="140">
        <v>8</v>
      </c>
      <c r="AB248" s="228">
        <v>0</v>
      </c>
      <c r="AC248" s="14">
        <v>0</v>
      </c>
      <c r="AD248" s="308" t="s">
        <v>4345</v>
      </c>
      <c r="AE248" s="23">
        <f>INDEX('[2]Cross-Section Database'!$C$2:$V$2928,MATCH(AD248,'[2]Cross-Section Database'!$B$2:$B$2928,0),3)</f>
        <v>222.2</v>
      </c>
      <c r="AF248" s="23">
        <f>INDEX('[2]Cross-Section Database'!$C$2:$V$2928,MATCH(AD248,'[2]Cross-Section Database'!$B$2:$B$2928,0),4)</f>
        <v>209.1</v>
      </c>
      <c r="AG248" s="23">
        <f>INDEX('[2]Cross-Section Database'!$C$2:$V$2928,MATCH(AD248,'[2]Cross-Section Database'!$B$2:$B$2928,0),6)</f>
        <v>20.5</v>
      </c>
      <c r="AH248" s="23">
        <f>INDEX('[2]Cross-Section Database'!$C$2:$V$2928,MATCH(AD248,'[2]Cross-Section Database'!$B$2:$B$2928,0),5)</f>
        <v>12.7</v>
      </c>
      <c r="AI248" s="23">
        <v>1000</v>
      </c>
      <c r="AJ248" s="308" t="s">
        <v>6336</v>
      </c>
      <c r="AK248" s="23">
        <f>INDEX('[2]Cross-Section Database'!$C$2:$V$2928,MATCH(AJ248,'[2]Cross-Section Database'!$B$2:$B$2928,0),3)</f>
        <v>256</v>
      </c>
      <c r="AL248" s="23">
        <f>INDEX('[2]Cross-Section Database'!$C$2:$V$2928,MATCH(AJ248,'[2]Cross-Section Database'!$B$2:$B$2928,0),4)</f>
        <v>146.4</v>
      </c>
      <c r="AM248" s="23">
        <f>INDEX('[2]Cross-Section Database'!$C$2:$V$2928,MATCH(AJ248,'[2]Cross-Section Database'!$B$2:$B$2928,0),6)</f>
        <v>10.9</v>
      </c>
      <c r="AN248" s="23">
        <f>INDEX('[2]Cross-Section Database'!$C$2:$V$2928,MATCH(AJ248,'[2]Cross-Section Database'!$B$2:$B$2928,0),5)</f>
        <v>6.3</v>
      </c>
      <c r="AO248" s="23">
        <v>1000</v>
      </c>
      <c r="AP248" s="23">
        <f>INDEX('[2]Cross-Section Database'!$C$2:$V$3928,MATCH(AJ248,'[2]Cross-Section Database'!$B$2:$B$3928,0),11)</f>
        <v>55370000</v>
      </c>
      <c r="AQ248" s="25">
        <f>INDEX('[2]Cross-Section Database'!$C$2:$V$3928,MATCH(AJ248,'[2]Cross-Section Database'!$B$2:$B$3928,0),12)</f>
        <v>483200</v>
      </c>
      <c r="AR248" s="23">
        <v>12</v>
      </c>
      <c r="AS248" s="23">
        <v>200</v>
      </c>
      <c r="AT248" s="23">
        <v>275</v>
      </c>
      <c r="AU248" s="23">
        <f t="shared" si="121"/>
        <v>9.5</v>
      </c>
      <c r="AV248" s="23">
        <f t="shared" si="122"/>
        <v>9.5</v>
      </c>
      <c r="AW248" s="308" t="s">
        <v>5806</v>
      </c>
      <c r="AX248" s="311" t="s">
        <v>4716</v>
      </c>
      <c r="AY248" s="311">
        <f xml:space="preserve"> 100/AZ248/0.25</f>
        <v>20</v>
      </c>
      <c r="AZ248" s="311">
        <v>20</v>
      </c>
      <c r="BA248" s="311">
        <f t="shared" si="124"/>
        <v>245</v>
      </c>
      <c r="BB248" s="23">
        <f t="shared" si="132"/>
        <v>45.05</v>
      </c>
      <c r="BC248" s="23">
        <f t="shared" si="127"/>
        <v>45.05</v>
      </c>
      <c r="BD248" s="23">
        <v>60</v>
      </c>
      <c r="BE248" s="23">
        <v>90</v>
      </c>
      <c r="BF248" s="23">
        <f t="shared" si="125"/>
        <v>124.89999999999998</v>
      </c>
      <c r="BG248" s="19" t="s">
        <v>6318</v>
      </c>
      <c r="BH248" s="311" t="s">
        <v>6204</v>
      </c>
      <c r="BI248" s="311" t="s">
        <v>6204</v>
      </c>
      <c r="BJ248" s="311">
        <v>2</v>
      </c>
      <c r="BK248" s="311">
        <v>4</v>
      </c>
      <c r="BL248" s="191" t="s">
        <v>5791</v>
      </c>
      <c r="BM248" s="192" t="s">
        <v>5791</v>
      </c>
      <c r="BN248" s="192" t="s">
        <v>5791</v>
      </c>
      <c r="BO248" s="192" t="s">
        <v>5791</v>
      </c>
      <c r="BP248" s="192" t="s">
        <v>5791</v>
      </c>
      <c r="BQ248" s="192" t="s">
        <v>5791</v>
      </c>
      <c r="BR248" s="192" t="s">
        <v>5791</v>
      </c>
      <c r="BS248" s="192" t="s">
        <v>5791</v>
      </c>
      <c r="BT248" s="191" t="s">
        <v>5791</v>
      </c>
      <c r="BU248" s="192" t="s">
        <v>5791</v>
      </c>
      <c r="BV248" s="192" t="s">
        <v>5791</v>
      </c>
      <c r="BW248" s="192" t="s">
        <v>5791</v>
      </c>
      <c r="BX248" s="192" t="s">
        <v>5791</v>
      </c>
      <c r="BY248" s="192" t="s">
        <v>5791</v>
      </c>
      <c r="BZ248" s="214" t="s">
        <v>5791</v>
      </c>
      <c r="CA248" s="192" t="s">
        <v>5791</v>
      </c>
      <c r="CB248" s="192" t="s">
        <v>5791</v>
      </c>
      <c r="CC248" s="192" t="s">
        <v>5791</v>
      </c>
      <c r="CD248" s="192" t="s">
        <v>5791</v>
      </c>
      <c r="CE248" s="192" t="s">
        <v>5791</v>
      </c>
      <c r="CF248" s="214" t="s">
        <v>5791</v>
      </c>
      <c r="CG248" s="86" t="s">
        <v>5664</v>
      </c>
      <c r="CH248" s="86">
        <v>275</v>
      </c>
      <c r="CI248" s="35">
        <f>CI247</f>
        <v>262.685</v>
      </c>
      <c r="CJ248" s="86">
        <v>430</v>
      </c>
      <c r="CK248" s="35">
        <f>CK247</f>
        <v>463.4</v>
      </c>
      <c r="CL248" s="69">
        <f>CL247</f>
        <v>204097.05</v>
      </c>
      <c r="CM248" s="86" t="s">
        <v>5664</v>
      </c>
      <c r="CN248" s="86">
        <v>275</v>
      </c>
      <c r="CO248" s="35">
        <f>CO247</f>
        <v>262.685</v>
      </c>
      <c r="CP248" s="86">
        <v>430</v>
      </c>
      <c r="CQ248" s="35">
        <f>CQ247</f>
        <v>463.4</v>
      </c>
      <c r="CR248" s="69">
        <f>CR247</f>
        <v>204097</v>
      </c>
      <c r="CS248" s="86" t="s">
        <v>5664</v>
      </c>
      <c r="CT248" s="86">
        <v>275</v>
      </c>
      <c r="CU248" s="34">
        <v>224</v>
      </c>
      <c r="CV248" s="86">
        <v>430</v>
      </c>
      <c r="CW248" s="34">
        <v>350</v>
      </c>
      <c r="CX248" s="76">
        <v>200000</v>
      </c>
      <c r="CY248" s="201" t="s">
        <v>5791</v>
      </c>
      <c r="CZ248" s="202" t="s">
        <v>5791</v>
      </c>
      <c r="DA248" s="202" t="s">
        <v>5791</v>
      </c>
      <c r="DB248" s="203" t="s">
        <v>5791</v>
      </c>
      <c r="DC248" s="201" t="s">
        <v>5791</v>
      </c>
      <c r="DD248" s="202" t="s">
        <v>5791</v>
      </c>
      <c r="DE248" s="203" t="s">
        <v>5791</v>
      </c>
      <c r="DF248" s="275" t="s">
        <v>5791</v>
      </c>
      <c r="DG248" s="311">
        <v>10.9</v>
      </c>
      <c r="DH248" s="311">
        <v>900</v>
      </c>
      <c r="DI248" s="86">
        <v>918</v>
      </c>
      <c r="DJ248" s="86">
        <v>1000</v>
      </c>
      <c r="DK248" s="86">
        <v>1040</v>
      </c>
      <c r="DL248" s="76">
        <v>200000</v>
      </c>
      <c r="DM248" s="27" t="s">
        <v>5831</v>
      </c>
      <c r="DN248" s="301" t="s">
        <v>4435</v>
      </c>
      <c r="DO248" s="306" t="s">
        <v>4565</v>
      </c>
    </row>
    <row r="249" spans="1:119" ht="15.6" customHeight="1">
      <c r="A249" s="300">
        <v>244</v>
      </c>
      <c r="B249" s="348">
        <v>34</v>
      </c>
      <c r="C249" s="348">
        <v>2003</v>
      </c>
      <c r="D249" s="359" t="s">
        <v>4800</v>
      </c>
      <c r="E249" s="359" t="s">
        <v>4851</v>
      </c>
      <c r="F249" s="348">
        <v>11</v>
      </c>
      <c r="G249" s="348" t="s">
        <v>5917</v>
      </c>
      <c r="H249" s="348" t="s">
        <v>5916</v>
      </c>
      <c r="I249" s="348" t="s">
        <v>6240</v>
      </c>
      <c r="J249" s="284" t="s">
        <v>4613</v>
      </c>
      <c r="K249" s="300" t="s">
        <v>4383</v>
      </c>
      <c r="L249" s="309" t="s">
        <v>5791</v>
      </c>
      <c r="M249" s="300" t="s">
        <v>4507</v>
      </c>
      <c r="N249" s="309" t="s">
        <v>4701</v>
      </c>
      <c r="O249" s="17" t="s">
        <v>4506</v>
      </c>
      <c r="P249" s="309" t="s">
        <v>4470</v>
      </c>
      <c r="Q249" s="309" t="s">
        <v>4420</v>
      </c>
      <c r="R249" s="309" t="s">
        <v>6165</v>
      </c>
      <c r="S249" s="309">
        <v>15</v>
      </c>
      <c r="T249" s="64" t="s">
        <v>4420</v>
      </c>
      <c r="U249" s="64" t="s">
        <v>5791</v>
      </c>
      <c r="V249" s="64" t="s">
        <v>4420</v>
      </c>
      <c r="W249" s="64" t="s">
        <v>5791</v>
      </c>
      <c r="X249" s="309" t="s">
        <v>4420</v>
      </c>
      <c r="Y249" s="309" t="s">
        <v>5791</v>
      </c>
      <c r="Z249" s="309" t="s">
        <v>4558</v>
      </c>
      <c r="AA249" s="17">
        <v>10</v>
      </c>
      <c r="AB249" s="223">
        <v>0</v>
      </c>
      <c r="AC249" s="18">
        <v>0</v>
      </c>
      <c r="AD249" s="300" t="s">
        <v>4341</v>
      </c>
      <c r="AE249" s="16">
        <f>INDEX('[2]Cross-Section Database'!$C$2:$V$2928,MATCH(AD249,'[2]Cross-Section Database'!$B$2:$B$2928,0),3)</f>
        <v>203.2</v>
      </c>
      <c r="AF249" s="16">
        <f>INDEX('[2]Cross-Section Database'!$C$2:$V$2928,MATCH(AD249,'[2]Cross-Section Database'!$B$2:$B$2928,0),4)</f>
        <v>203.6</v>
      </c>
      <c r="AG249" s="16">
        <f>INDEX('[2]Cross-Section Database'!$C$2:$V$2928,MATCH(AD249,'[2]Cross-Section Database'!$B$2:$B$2928,0),6)</f>
        <v>11</v>
      </c>
      <c r="AH249" s="16">
        <f>INDEX('[2]Cross-Section Database'!$C$2:$V$2928,MATCH(AD249,'[2]Cross-Section Database'!$B$2:$B$2928,0),5)</f>
        <v>7.2</v>
      </c>
      <c r="AI249" s="16">
        <v>3470</v>
      </c>
      <c r="AJ249" s="300" t="s">
        <v>4219</v>
      </c>
      <c r="AK249" s="16">
        <f>INDEX('[2]Cross-Section Database'!$C$2:$V$2928,MATCH(AJ249,'[2]Cross-Section Database'!$B$2:$B$2928,0),3)</f>
        <v>310.39999999999998</v>
      </c>
      <c r="AL249" s="16">
        <f>INDEX('[2]Cross-Section Database'!$C$2:$V$2928,MATCH(AJ249,'[2]Cross-Section Database'!$B$2:$B$2928,0),4)</f>
        <v>166.9</v>
      </c>
      <c r="AM249" s="16">
        <f>INDEX('[2]Cross-Section Database'!$C$2:$V$2928,MATCH(AJ249,'[2]Cross-Section Database'!$B$2:$B$2928,0),6)</f>
        <v>13.7</v>
      </c>
      <c r="AN249" s="16">
        <f>INDEX('[2]Cross-Section Database'!$C$2:$V$2928,MATCH(AJ249,'[2]Cross-Section Database'!$B$2:$B$2928,0),5)</f>
        <v>7.9</v>
      </c>
      <c r="AO249" s="16">
        <v>1500</v>
      </c>
      <c r="AP249" s="16">
        <f>INDEX('[2]Cross-Section Database'!$C$2:$V$3928,MATCH(AJ249,'[2]Cross-Section Database'!$B$2:$B$3928,0),11)</f>
        <v>117000000</v>
      </c>
      <c r="AQ249" s="26">
        <f>INDEX('[2]Cross-Section Database'!$C$2:$V$3928,MATCH(AJ249,'[2]Cross-Section Database'!$B$2:$B$3928,0),12)</f>
        <v>846100</v>
      </c>
      <c r="AR249" s="16">
        <v>12</v>
      </c>
      <c r="AS249" s="16">
        <v>175</v>
      </c>
      <c r="AT249" s="16">
        <v>330</v>
      </c>
      <c r="AU249" s="16">
        <f t="shared" si="121"/>
        <v>9.8000000000000114</v>
      </c>
      <c r="AV249" s="16">
        <f t="shared" si="122"/>
        <v>9.8000000000000114</v>
      </c>
      <c r="AW249" s="300" t="s">
        <v>5806</v>
      </c>
      <c r="AX249" s="309" t="s">
        <v>4562</v>
      </c>
      <c r="AY249" s="1">
        <f xml:space="preserve"> 200/AZ249/0.25</f>
        <v>40</v>
      </c>
      <c r="AZ249" s="309">
        <v>20</v>
      </c>
      <c r="BA249" s="309">
        <f t="shared" si="124"/>
        <v>245</v>
      </c>
      <c r="BB249" s="16">
        <v>60</v>
      </c>
      <c r="BC249" s="16">
        <f t="shared" si="127"/>
        <v>60</v>
      </c>
      <c r="BD249" s="16">
        <v>0</v>
      </c>
      <c r="BE249" s="16">
        <v>90</v>
      </c>
      <c r="BF249" s="16">
        <f t="shared" si="125"/>
        <v>210</v>
      </c>
      <c r="BG249" s="22" t="s">
        <v>4470</v>
      </c>
      <c r="BH249" s="309" t="s">
        <v>6204</v>
      </c>
      <c r="BI249" s="309" t="s">
        <v>6204</v>
      </c>
      <c r="BJ249" s="309">
        <v>2</v>
      </c>
      <c r="BK249" s="309">
        <v>4</v>
      </c>
      <c r="BL249" s="300">
        <v>120</v>
      </c>
      <c r="BM249" s="309">
        <v>1500</v>
      </c>
      <c r="BN249" s="195" t="s">
        <v>5791</v>
      </c>
      <c r="BO249" s="195" t="s">
        <v>5791</v>
      </c>
      <c r="BP249" s="195" t="s">
        <v>5791</v>
      </c>
      <c r="BQ249" s="195" t="s">
        <v>5791</v>
      </c>
      <c r="BR249" s="195" t="s">
        <v>5791</v>
      </c>
      <c r="BS249" s="195" t="s">
        <v>5791</v>
      </c>
      <c r="BT249" s="300" t="s">
        <v>5855</v>
      </c>
      <c r="BU249" s="309">
        <v>7</v>
      </c>
      <c r="BV249" s="309">
        <v>1</v>
      </c>
      <c r="BW249" s="309">
        <v>19</v>
      </c>
      <c r="BX249" s="309">
        <v>100</v>
      </c>
      <c r="BY249" s="309">
        <v>90</v>
      </c>
      <c r="BZ249" s="17">
        <v>240</v>
      </c>
      <c r="CA249" s="309" t="s">
        <v>4572</v>
      </c>
      <c r="CB249" s="309" t="s">
        <v>4582</v>
      </c>
      <c r="CC249" s="16">
        <v>0</v>
      </c>
      <c r="CD249" s="16">
        <f>8*PI()*12^2/4</f>
        <v>904.77868423386042</v>
      </c>
      <c r="CE249" s="309">
        <v>30</v>
      </c>
      <c r="CF249" s="131">
        <f>8*PI()*12^2/4/BL249/BM249</f>
        <v>5.0265482457436689E-3</v>
      </c>
      <c r="CG249" s="105" t="s">
        <v>4449</v>
      </c>
      <c r="CH249" s="309">
        <v>235</v>
      </c>
      <c r="CI249" s="309">
        <v>287</v>
      </c>
      <c r="CJ249" s="309">
        <v>360</v>
      </c>
      <c r="CK249" s="16">
        <v>443.5</v>
      </c>
      <c r="CL249" s="65">
        <v>200000</v>
      </c>
      <c r="CM249" s="105" t="s">
        <v>4449</v>
      </c>
      <c r="CN249" s="309">
        <v>235</v>
      </c>
      <c r="CO249" s="16">
        <v>266.5</v>
      </c>
      <c r="CP249" s="309">
        <v>360</v>
      </c>
      <c r="CQ249" s="16">
        <v>451.5</v>
      </c>
      <c r="CR249" s="65">
        <v>200000</v>
      </c>
      <c r="CS249" s="30" t="s">
        <v>4449</v>
      </c>
      <c r="CT249" s="64">
        <v>235</v>
      </c>
      <c r="CU249" s="309">
        <v>231</v>
      </c>
      <c r="CV249" s="71">
        <v>360</v>
      </c>
      <c r="CW249" s="309">
        <v>392</v>
      </c>
      <c r="CX249" s="65">
        <v>200000</v>
      </c>
      <c r="CY249" s="300" t="s">
        <v>5796</v>
      </c>
      <c r="CZ249" s="16">
        <v>38</v>
      </c>
      <c r="DA249" s="31">
        <v>2.9</v>
      </c>
      <c r="DB249" s="79">
        <v>22900</v>
      </c>
      <c r="DC249" s="309">
        <v>572</v>
      </c>
      <c r="DD249" s="30">
        <v>650</v>
      </c>
      <c r="DE249" s="65">
        <v>200000</v>
      </c>
      <c r="DF249" s="273" t="s">
        <v>5791</v>
      </c>
      <c r="DG249" s="309">
        <v>8.8000000000000007</v>
      </c>
      <c r="DH249" s="309">
        <v>640</v>
      </c>
      <c r="DI249" s="30">
        <v>730</v>
      </c>
      <c r="DJ249" s="309">
        <v>800</v>
      </c>
      <c r="DK249" s="32">
        <v>940</v>
      </c>
      <c r="DL249" s="65">
        <v>205000</v>
      </c>
      <c r="DM249" s="127" t="s">
        <v>5844</v>
      </c>
      <c r="DN249" s="300" t="s">
        <v>4435</v>
      </c>
      <c r="DO249" s="305" t="s">
        <v>4565</v>
      </c>
    </row>
    <row r="250" spans="1:119">
      <c r="A250" s="301">
        <v>245</v>
      </c>
      <c r="B250" s="349"/>
      <c r="C250" s="349"/>
      <c r="D250" s="360"/>
      <c r="E250" s="360"/>
      <c r="F250" s="349"/>
      <c r="G250" s="349"/>
      <c r="H250" s="349"/>
      <c r="I250" s="349"/>
      <c r="J250" s="286" t="s">
        <v>4614</v>
      </c>
      <c r="K250" s="301" t="s">
        <v>4383</v>
      </c>
      <c r="L250" s="310" t="s">
        <v>5791</v>
      </c>
      <c r="M250" s="301" t="s">
        <v>4507</v>
      </c>
      <c r="N250" s="310" t="s">
        <v>4701</v>
      </c>
      <c r="O250" s="18" t="s">
        <v>4506</v>
      </c>
      <c r="P250" s="310" t="s">
        <v>4470</v>
      </c>
      <c r="Q250" s="310" t="s">
        <v>4420</v>
      </c>
      <c r="R250" s="310" t="s">
        <v>6165</v>
      </c>
      <c r="S250" s="310">
        <v>15</v>
      </c>
      <c r="T250" s="59" t="s">
        <v>4420</v>
      </c>
      <c r="U250" s="59" t="s">
        <v>5791</v>
      </c>
      <c r="V250" s="59" t="s">
        <v>4420</v>
      </c>
      <c r="W250" s="59" t="s">
        <v>5791</v>
      </c>
      <c r="X250" s="310" t="s">
        <v>4420</v>
      </c>
      <c r="Y250" s="310" t="s">
        <v>5791</v>
      </c>
      <c r="Z250" s="310" t="s">
        <v>4558</v>
      </c>
      <c r="AA250" s="18">
        <v>10</v>
      </c>
      <c r="AB250" s="223">
        <v>0</v>
      </c>
      <c r="AC250" s="18">
        <v>0</v>
      </c>
      <c r="AD250" s="301" t="s">
        <v>4341</v>
      </c>
      <c r="AE250" s="21">
        <f>INDEX('[2]Cross-Section Database'!$C$2:$V$2928,MATCH(AD250,'[2]Cross-Section Database'!$B$2:$B$2928,0),3)</f>
        <v>203.2</v>
      </c>
      <c r="AF250" s="21">
        <f>INDEX('[2]Cross-Section Database'!$C$2:$V$2928,MATCH(AD250,'[2]Cross-Section Database'!$B$2:$B$2928,0),4)</f>
        <v>203.6</v>
      </c>
      <c r="AG250" s="21">
        <f>INDEX('[2]Cross-Section Database'!$C$2:$V$2928,MATCH(AD250,'[2]Cross-Section Database'!$B$2:$B$2928,0),6)</f>
        <v>11</v>
      </c>
      <c r="AH250" s="21">
        <f>INDEX('[2]Cross-Section Database'!$C$2:$V$2928,MATCH(AD250,'[2]Cross-Section Database'!$B$2:$B$2928,0),5)</f>
        <v>7.2</v>
      </c>
      <c r="AI250" s="21">
        <v>3470</v>
      </c>
      <c r="AJ250" s="301" t="s">
        <v>4219</v>
      </c>
      <c r="AK250" s="21">
        <f>INDEX('[2]Cross-Section Database'!$C$2:$V$2928,MATCH(AJ250,'[2]Cross-Section Database'!$B$2:$B$2928,0),3)</f>
        <v>310.39999999999998</v>
      </c>
      <c r="AL250" s="21">
        <f>INDEX('[2]Cross-Section Database'!$C$2:$V$2928,MATCH(AJ250,'[2]Cross-Section Database'!$B$2:$B$2928,0),4)</f>
        <v>166.9</v>
      </c>
      <c r="AM250" s="21">
        <f>INDEX('[2]Cross-Section Database'!$C$2:$V$2928,MATCH(AJ250,'[2]Cross-Section Database'!$B$2:$B$2928,0),6)</f>
        <v>13.7</v>
      </c>
      <c r="AN250" s="21">
        <f>INDEX('[2]Cross-Section Database'!$C$2:$V$2928,MATCH(AJ250,'[2]Cross-Section Database'!$B$2:$B$2928,0),5)</f>
        <v>7.9</v>
      </c>
      <c r="AO250" s="21">
        <v>1500</v>
      </c>
      <c r="AP250" s="21">
        <f>INDEX('[2]Cross-Section Database'!$C$2:$V$3928,MATCH(AJ250,'[2]Cross-Section Database'!$B$2:$B$3928,0),11)</f>
        <v>117000000</v>
      </c>
      <c r="AQ250" s="24">
        <f>INDEX('[2]Cross-Section Database'!$C$2:$V$3928,MATCH(AJ250,'[2]Cross-Section Database'!$B$2:$B$3928,0),12)</f>
        <v>846100</v>
      </c>
      <c r="AR250" s="21">
        <v>12</v>
      </c>
      <c r="AS250" s="21">
        <v>175</v>
      </c>
      <c r="AT250" s="21">
        <v>330</v>
      </c>
      <c r="AU250" s="21">
        <v>10</v>
      </c>
      <c r="AV250" s="21">
        <f t="shared" si="122"/>
        <v>9.8000000000000114</v>
      </c>
      <c r="AW250" s="301" t="s">
        <v>5806</v>
      </c>
      <c r="AX250" s="310" t="s">
        <v>4562</v>
      </c>
      <c r="AY250" s="43">
        <f t="shared" ref="AY250:AY259" si="134" xml:space="preserve"> 200/AZ250/0.25</f>
        <v>40</v>
      </c>
      <c r="AZ250" s="310">
        <v>20</v>
      </c>
      <c r="BA250" s="310">
        <f t="shared" si="124"/>
        <v>245</v>
      </c>
      <c r="BB250" s="21">
        <v>60</v>
      </c>
      <c r="BC250" s="21">
        <f t="shared" si="127"/>
        <v>60</v>
      </c>
      <c r="BD250" s="21">
        <v>0</v>
      </c>
      <c r="BE250" s="21">
        <v>90</v>
      </c>
      <c r="BF250" s="21">
        <f t="shared" si="125"/>
        <v>210</v>
      </c>
      <c r="BG250" s="15" t="s">
        <v>4470</v>
      </c>
      <c r="BH250" s="310" t="s">
        <v>6204</v>
      </c>
      <c r="BI250" s="310" t="s">
        <v>6204</v>
      </c>
      <c r="BJ250" s="310">
        <v>2</v>
      </c>
      <c r="BK250" s="310">
        <v>4</v>
      </c>
      <c r="BL250" s="301">
        <v>120</v>
      </c>
      <c r="BM250" s="310">
        <v>1500</v>
      </c>
      <c r="BN250" s="197" t="s">
        <v>5791</v>
      </c>
      <c r="BO250" s="197" t="s">
        <v>5791</v>
      </c>
      <c r="BP250" s="197" t="s">
        <v>5791</v>
      </c>
      <c r="BQ250" s="197" t="s">
        <v>5791</v>
      </c>
      <c r="BR250" s="197" t="s">
        <v>5791</v>
      </c>
      <c r="BS250" s="197" t="s">
        <v>5791</v>
      </c>
      <c r="BT250" s="301" t="s">
        <v>5855</v>
      </c>
      <c r="BU250" s="310">
        <v>14</v>
      </c>
      <c r="BV250" s="310">
        <v>2</v>
      </c>
      <c r="BW250" s="310">
        <v>19</v>
      </c>
      <c r="BX250" s="310">
        <v>100</v>
      </c>
      <c r="BY250" s="310">
        <v>90</v>
      </c>
      <c r="BZ250" s="18">
        <v>240</v>
      </c>
      <c r="CA250" s="310" t="s">
        <v>4572</v>
      </c>
      <c r="CB250" s="310" t="s">
        <v>4619</v>
      </c>
      <c r="CC250" s="21">
        <v>0</v>
      </c>
      <c r="CD250" s="21">
        <f>10*PI()*16^2/4</f>
        <v>2010.6192982974676</v>
      </c>
      <c r="CE250" s="310">
        <v>30</v>
      </c>
      <c r="CF250" s="132">
        <f>10*PI()*16^2/4/BL250/BM250</f>
        <v>1.1170107212763708E-2</v>
      </c>
      <c r="CG250" s="106" t="s">
        <v>4449</v>
      </c>
      <c r="CH250" s="310">
        <v>235</v>
      </c>
      <c r="CI250" s="310">
        <v>287</v>
      </c>
      <c r="CJ250" s="310">
        <v>360</v>
      </c>
      <c r="CK250" s="21">
        <v>443.5</v>
      </c>
      <c r="CL250" s="66">
        <v>200000</v>
      </c>
      <c r="CM250" s="106" t="s">
        <v>4449</v>
      </c>
      <c r="CN250" s="310">
        <v>235</v>
      </c>
      <c r="CO250" s="21">
        <v>266.5</v>
      </c>
      <c r="CP250" s="310">
        <v>360</v>
      </c>
      <c r="CQ250" s="21">
        <v>451.5</v>
      </c>
      <c r="CR250" s="66">
        <v>200000</v>
      </c>
      <c r="CS250" s="32" t="s">
        <v>4449</v>
      </c>
      <c r="CT250" s="59">
        <v>235</v>
      </c>
      <c r="CU250" s="310">
        <v>231</v>
      </c>
      <c r="CV250" s="46">
        <v>360</v>
      </c>
      <c r="CW250" s="310">
        <v>392</v>
      </c>
      <c r="CX250" s="66">
        <v>200000</v>
      </c>
      <c r="CY250" s="301" t="s">
        <v>5796</v>
      </c>
      <c r="CZ250" s="21">
        <v>29.4</v>
      </c>
      <c r="DA250" s="33">
        <v>2.9</v>
      </c>
      <c r="DB250" s="67">
        <v>20300</v>
      </c>
      <c r="DC250" s="310">
        <v>579</v>
      </c>
      <c r="DD250" s="32">
        <v>650</v>
      </c>
      <c r="DE250" s="66">
        <v>200000</v>
      </c>
      <c r="DF250" s="274" t="s">
        <v>5791</v>
      </c>
      <c r="DG250" s="310">
        <v>8.8000000000000007</v>
      </c>
      <c r="DH250" s="310">
        <v>640</v>
      </c>
      <c r="DI250" s="32">
        <v>730</v>
      </c>
      <c r="DJ250" s="310">
        <v>800</v>
      </c>
      <c r="DK250" s="32">
        <v>940</v>
      </c>
      <c r="DL250" s="66">
        <v>205000</v>
      </c>
      <c r="DM250" s="129" t="s">
        <v>4799</v>
      </c>
      <c r="DN250" s="301" t="s">
        <v>4435</v>
      </c>
      <c r="DO250" s="306" t="s">
        <v>4565</v>
      </c>
    </row>
    <row r="251" spans="1:119">
      <c r="A251" s="301">
        <v>246</v>
      </c>
      <c r="B251" s="349"/>
      <c r="C251" s="349"/>
      <c r="D251" s="360"/>
      <c r="E251" s="360"/>
      <c r="F251" s="349"/>
      <c r="G251" s="349"/>
      <c r="H251" s="349"/>
      <c r="I251" s="349"/>
      <c r="J251" s="286" t="s">
        <v>4615</v>
      </c>
      <c r="K251" s="301" t="s">
        <v>4383</v>
      </c>
      <c r="L251" s="310" t="s">
        <v>5791</v>
      </c>
      <c r="M251" s="301" t="s">
        <v>4507</v>
      </c>
      <c r="N251" s="310" t="s">
        <v>4701</v>
      </c>
      <c r="O251" s="18" t="s">
        <v>4506</v>
      </c>
      <c r="P251" s="310" t="s">
        <v>4470</v>
      </c>
      <c r="Q251" s="310" t="s">
        <v>4420</v>
      </c>
      <c r="R251" s="310" t="s">
        <v>6165</v>
      </c>
      <c r="S251" s="310">
        <v>15</v>
      </c>
      <c r="T251" s="59" t="s">
        <v>4420</v>
      </c>
      <c r="U251" s="59" t="s">
        <v>5791</v>
      </c>
      <c r="V251" s="59" t="s">
        <v>4420</v>
      </c>
      <c r="W251" s="59" t="s">
        <v>5791</v>
      </c>
      <c r="X251" s="310" t="s">
        <v>4420</v>
      </c>
      <c r="Y251" s="310" t="s">
        <v>5791</v>
      </c>
      <c r="Z251" s="310" t="s">
        <v>4558</v>
      </c>
      <c r="AA251" s="18">
        <v>10</v>
      </c>
      <c r="AB251" s="223">
        <v>0</v>
      </c>
      <c r="AC251" s="18">
        <v>0</v>
      </c>
      <c r="AD251" s="301" t="s">
        <v>4341</v>
      </c>
      <c r="AE251" s="21">
        <f>INDEX('[2]Cross-Section Database'!$C$2:$V$2928,MATCH(AD251,'[2]Cross-Section Database'!$B$2:$B$2928,0),3)</f>
        <v>203.2</v>
      </c>
      <c r="AF251" s="21">
        <f>INDEX('[2]Cross-Section Database'!$C$2:$V$2928,MATCH(AD251,'[2]Cross-Section Database'!$B$2:$B$2928,0),4)</f>
        <v>203.6</v>
      </c>
      <c r="AG251" s="21">
        <f>INDEX('[2]Cross-Section Database'!$C$2:$V$2928,MATCH(AD251,'[2]Cross-Section Database'!$B$2:$B$2928,0),6)</f>
        <v>11</v>
      </c>
      <c r="AH251" s="21">
        <f>INDEX('[2]Cross-Section Database'!$C$2:$V$2928,MATCH(AD251,'[2]Cross-Section Database'!$B$2:$B$2928,0),5)</f>
        <v>7.2</v>
      </c>
      <c r="AI251" s="21">
        <v>3470</v>
      </c>
      <c r="AJ251" s="301" t="s">
        <v>4219</v>
      </c>
      <c r="AK251" s="21">
        <f>INDEX('[2]Cross-Section Database'!$C$2:$V$2928,MATCH(AJ251,'[2]Cross-Section Database'!$B$2:$B$2928,0),3)</f>
        <v>310.39999999999998</v>
      </c>
      <c r="AL251" s="21">
        <f>INDEX('[2]Cross-Section Database'!$C$2:$V$2928,MATCH(AJ251,'[2]Cross-Section Database'!$B$2:$B$2928,0),4)</f>
        <v>166.9</v>
      </c>
      <c r="AM251" s="21">
        <f>INDEX('[2]Cross-Section Database'!$C$2:$V$2928,MATCH(AJ251,'[2]Cross-Section Database'!$B$2:$B$2928,0),6)</f>
        <v>13.7</v>
      </c>
      <c r="AN251" s="21">
        <f>INDEX('[2]Cross-Section Database'!$C$2:$V$2928,MATCH(AJ251,'[2]Cross-Section Database'!$B$2:$B$2928,0),5)</f>
        <v>7.9</v>
      </c>
      <c r="AO251" s="21">
        <v>1500</v>
      </c>
      <c r="AP251" s="21">
        <f>INDEX('[2]Cross-Section Database'!$C$2:$V$3928,MATCH(AJ251,'[2]Cross-Section Database'!$B$2:$B$3928,0),11)</f>
        <v>117000000</v>
      </c>
      <c r="AQ251" s="24">
        <f>INDEX('[2]Cross-Section Database'!$C$2:$V$3928,MATCH(AJ251,'[2]Cross-Section Database'!$B$2:$B$3928,0),12)</f>
        <v>846100</v>
      </c>
      <c r="AR251" s="21">
        <v>12</v>
      </c>
      <c r="AS251" s="21">
        <v>175</v>
      </c>
      <c r="AT251" s="21">
        <v>330</v>
      </c>
      <c r="AU251" s="21">
        <v>10</v>
      </c>
      <c r="AV251" s="21">
        <f t="shared" si="122"/>
        <v>9.8000000000000114</v>
      </c>
      <c r="AW251" s="301" t="s">
        <v>5806</v>
      </c>
      <c r="AX251" s="310" t="s">
        <v>4562</v>
      </c>
      <c r="AY251" s="310">
        <f t="shared" si="134"/>
        <v>40</v>
      </c>
      <c r="AZ251" s="310">
        <v>20</v>
      </c>
      <c r="BA251" s="310">
        <f t="shared" si="124"/>
        <v>245</v>
      </c>
      <c r="BB251" s="21">
        <v>60</v>
      </c>
      <c r="BC251" s="21">
        <f t="shared" si="127"/>
        <v>60</v>
      </c>
      <c r="BD251" s="21">
        <v>0</v>
      </c>
      <c r="BE251" s="21">
        <v>90</v>
      </c>
      <c r="BF251" s="21">
        <f t="shared" si="125"/>
        <v>210</v>
      </c>
      <c r="BG251" s="15" t="s">
        <v>4470</v>
      </c>
      <c r="BH251" s="310" t="s">
        <v>6204</v>
      </c>
      <c r="BI251" s="310" t="s">
        <v>6204</v>
      </c>
      <c r="BJ251" s="310">
        <v>2</v>
      </c>
      <c r="BK251" s="310">
        <v>4</v>
      </c>
      <c r="BL251" s="301">
        <v>120</v>
      </c>
      <c r="BM251" s="310">
        <v>1500</v>
      </c>
      <c r="BN251" s="197" t="s">
        <v>5791</v>
      </c>
      <c r="BO251" s="197" t="s">
        <v>5791</v>
      </c>
      <c r="BP251" s="197" t="s">
        <v>5791</v>
      </c>
      <c r="BQ251" s="197" t="s">
        <v>5791</v>
      </c>
      <c r="BR251" s="197" t="s">
        <v>5791</v>
      </c>
      <c r="BS251" s="197" t="s">
        <v>5791</v>
      </c>
      <c r="BT251" s="301" t="s">
        <v>5855</v>
      </c>
      <c r="BU251" s="310">
        <v>20</v>
      </c>
      <c r="BV251" s="310">
        <v>2</v>
      </c>
      <c r="BW251" s="310">
        <v>19</v>
      </c>
      <c r="BX251" s="310">
        <v>100</v>
      </c>
      <c r="BY251" s="310">
        <v>90</v>
      </c>
      <c r="BZ251" s="18">
        <v>160</v>
      </c>
      <c r="CA251" s="310" t="s">
        <v>4572</v>
      </c>
      <c r="CB251" s="310" t="s">
        <v>4620</v>
      </c>
      <c r="CC251" s="21">
        <v>0</v>
      </c>
      <c r="CD251" s="21">
        <f>14*PI()*16^2/4</f>
        <v>2814.8670176164546</v>
      </c>
      <c r="CE251" s="310">
        <v>30</v>
      </c>
      <c r="CF251" s="132">
        <f>14*PI()*16^2/4/BL251/BM251</f>
        <v>1.5638150097869192E-2</v>
      </c>
      <c r="CG251" s="106" t="s">
        <v>4449</v>
      </c>
      <c r="CH251" s="310">
        <v>235</v>
      </c>
      <c r="CI251" s="310">
        <v>287</v>
      </c>
      <c r="CJ251" s="310">
        <v>360</v>
      </c>
      <c r="CK251" s="21">
        <v>443.5</v>
      </c>
      <c r="CL251" s="66">
        <v>200000</v>
      </c>
      <c r="CM251" s="106" t="s">
        <v>4449</v>
      </c>
      <c r="CN251" s="310">
        <v>235</v>
      </c>
      <c r="CO251" s="21">
        <v>266.5</v>
      </c>
      <c r="CP251" s="310">
        <v>360</v>
      </c>
      <c r="CQ251" s="21">
        <v>451.5</v>
      </c>
      <c r="CR251" s="66">
        <v>200000</v>
      </c>
      <c r="CS251" s="32" t="s">
        <v>4449</v>
      </c>
      <c r="CT251" s="59">
        <v>235</v>
      </c>
      <c r="CU251" s="310">
        <v>231</v>
      </c>
      <c r="CV251" s="46">
        <v>360</v>
      </c>
      <c r="CW251" s="310">
        <v>392</v>
      </c>
      <c r="CX251" s="66">
        <v>200000</v>
      </c>
      <c r="CY251" s="301" t="s">
        <v>5796</v>
      </c>
      <c r="CZ251" s="21">
        <v>34.200000000000003</v>
      </c>
      <c r="DA251" s="33">
        <v>2.9</v>
      </c>
      <c r="DB251" s="67">
        <v>24100</v>
      </c>
      <c r="DC251" s="310">
        <v>579</v>
      </c>
      <c r="DD251" s="32">
        <v>650</v>
      </c>
      <c r="DE251" s="66">
        <v>200000</v>
      </c>
      <c r="DF251" s="274" t="s">
        <v>5791</v>
      </c>
      <c r="DG251" s="310">
        <v>8.8000000000000007</v>
      </c>
      <c r="DH251" s="310">
        <v>640</v>
      </c>
      <c r="DI251" s="32">
        <v>730</v>
      </c>
      <c r="DJ251" s="310">
        <v>800</v>
      </c>
      <c r="DK251" s="32">
        <v>940</v>
      </c>
      <c r="DL251" s="66">
        <v>205000</v>
      </c>
      <c r="DM251" s="129" t="s">
        <v>4799</v>
      </c>
      <c r="DN251" s="301" t="s">
        <v>4435</v>
      </c>
      <c r="DO251" s="306" t="s">
        <v>4565</v>
      </c>
    </row>
    <row r="252" spans="1:119">
      <c r="A252" s="301">
        <v>247</v>
      </c>
      <c r="B252" s="349"/>
      <c r="C252" s="349"/>
      <c r="D252" s="360"/>
      <c r="E252" s="360"/>
      <c r="F252" s="349"/>
      <c r="G252" s="349"/>
      <c r="H252" s="349"/>
      <c r="I252" s="349"/>
      <c r="J252" s="286" t="s">
        <v>4616</v>
      </c>
      <c r="K252" s="301" t="s">
        <v>4383</v>
      </c>
      <c r="L252" s="310" t="s">
        <v>5791</v>
      </c>
      <c r="M252" s="301" t="s">
        <v>4507</v>
      </c>
      <c r="N252" s="310" t="s">
        <v>4701</v>
      </c>
      <c r="O252" s="18" t="s">
        <v>4506</v>
      </c>
      <c r="P252" s="310" t="s">
        <v>4470</v>
      </c>
      <c r="Q252" s="310" t="s">
        <v>4420</v>
      </c>
      <c r="R252" s="310" t="s">
        <v>4420</v>
      </c>
      <c r="S252" s="310" t="s">
        <v>5791</v>
      </c>
      <c r="T252" s="59" t="s">
        <v>4420</v>
      </c>
      <c r="U252" s="59" t="s">
        <v>5791</v>
      </c>
      <c r="V252" s="59" t="s">
        <v>4420</v>
      </c>
      <c r="W252" s="59" t="s">
        <v>5791</v>
      </c>
      <c r="X252" s="310" t="s">
        <v>4420</v>
      </c>
      <c r="Y252" s="310" t="s">
        <v>5791</v>
      </c>
      <c r="Z252" s="310" t="s">
        <v>4558</v>
      </c>
      <c r="AA252" s="18">
        <v>10</v>
      </c>
      <c r="AB252" s="223">
        <v>0</v>
      </c>
      <c r="AC252" s="18">
        <v>0</v>
      </c>
      <c r="AD252" s="301" t="s">
        <v>4341</v>
      </c>
      <c r="AE252" s="21">
        <f>INDEX('[2]Cross-Section Database'!$C$2:$V$2928,MATCH(AD252,'[2]Cross-Section Database'!$B$2:$B$2928,0),3)</f>
        <v>203.2</v>
      </c>
      <c r="AF252" s="21">
        <f>INDEX('[2]Cross-Section Database'!$C$2:$V$2928,MATCH(AD252,'[2]Cross-Section Database'!$B$2:$B$2928,0),4)</f>
        <v>203.6</v>
      </c>
      <c r="AG252" s="21">
        <f>INDEX('[2]Cross-Section Database'!$C$2:$V$2928,MATCH(AD252,'[2]Cross-Section Database'!$B$2:$B$2928,0),6)</f>
        <v>11</v>
      </c>
      <c r="AH252" s="21">
        <f>INDEX('[2]Cross-Section Database'!$C$2:$V$2928,MATCH(AD252,'[2]Cross-Section Database'!$B$2:$B$2928,0),5)</f>
        <v>7.2</v>
      </c>
      <c r="AI252" s="21">
        <v>3470</v>
      </c>
      <c r="AJ252" s="301" t="s">
        <v>4219</v>
      </c>
      <c r="AK252" s="21">
        <f>INDEX('[2]Cross-Section Database'!$C$2:$V$2928,MATCH(AJ252,'[2]Cross-Section Database'!$B$2:$B$2928,0),3)</f>
        <v>310.39999999999998</v>
      </c>
      <c r="AL252" s="21">
        <f>INDEX('[2]Cross-Section Database'!$C$2:$V$2928,MATCH(AJ252,'[2]Cross-Section Database'!$B$2:$B$2928,0),4)</f>
        <v>166.9</v>
      </c>
      <c r="AM252" s="21">
        <f>INDEX('[2]Cross-Section Database'!$C$2:$V$2928,MATCH(AJ252,'[2]Cross-Section Database'!$B$2:$B$2928,0),6)</f>
        <v>13.7</v>
      </c>
      <c r="AN252" s="21">
        <f>INDEX('[2]Cross-Section Database'!$C$2:$V$2928,MATCH(AJ252,'[2]Cross-Section Database'!$B$2:$B$2928,0),5)</f>
        <v>7.9</v>
      </c>
      <c r="AO252" s="21">
        <v>1500</v>
      </c>
      <c r="AP252" s="21">
        <f>INDEX('[2]Cross-Section Database'!$C$2:$V$3928,MATCH(AJ252,'[2]Cross-Section Database'!$B$2:$B$3928,0),11)</f>
        <v>117000000</v>
      </c>
      <c r="AQ252" s="24">
        <f>INDEX('[2]Cross-Section Database'!$C$2:$V$3928,MATCH(AJ252,'[2]Cross-Section Database'!$B$2:$B$3928,0),12)</f>
        <v>846100</v>
      </c>
      <c r="AR252" s="21">
        <v>12</v>
      </c>
      <c r="AS252" s="21">
        <v>175</v>
      </c>
      <c r="AT252" s="21">
        <v>330</v>
      </c>
      <c r="AU252" s="21">
        <v>10</v>
      </c>
      <c r="AV252" s="21">
        <f t="shared" si="122"/>
        <v>9.8000000000000114</v>
      </c>
      <c r="AW252" s="301" t="s">
        <v>5806</v>
      </c>
      <c r="AX252" s="310" t="s">
        <v>4562</v>
      </c>
      <c r="AY252" s="310">
        <f t="shared" si="134"/>
        <v>40</v>
      </c>
      <c r="AZ252" s="310">
        <v>20</v>
      </c>
      <c r="BA252" s="310">
        <f t="shared" si="124"/>
        <v>245</v>
      </c>
      <c r="BB252" s="21">
        <v>60</v>
      </c>
      <c r="BC252" s="21">
        <f t="shared" si="127"/>
        <v>60</v>
      </c>
      <c r="BD252" s="21">
        <v>0</v>
      </c>
      <c r="BE252" s="21">
        <v>90</v>
      </c>
      <c r="BF252" s="21">
        <f t="shared" si="125"/>
        <v>210</v>
      </c>
      <c r="BG252" s="15" t="s">
        <v>4470</v>
      </c>
      <c r="BH252" s="310" t="s">
        <v>6204</v>
      </c>
      <c r="BI252" s="310" t="s">
        <v>6204</v>
      </c>
      <c r="BJ252" s="310">
        <v>2</v>
      </c>
      <c r="BK252" s="310">
        <v>4</v>
      </c>
      <c r="BL252" s="301">
        <v>120</v>
      </c>
      <c r="BM252" s="310">
        <v>1500</v>
      </c>
      <c r="BN252" s="197" t="s">
        <v>5791</v>
      </c>
      <c r="BO252" s="197" t="s">
        <v>5791</v>
      </c>
      <c r="BP252" s="197" t="s">
        <v>5791</v>
      </c>
      <c r="BQ252" s="197" t="s">
        <v>5791</v>
      </c>
      <c r="BR252" s="197" t="s">
        <v>5791</v>
      </c>
      <c r="BS252" s="197" t="s">
        <v>5791</v>
      </c>
      <c r="BT252" s="301" t="s">
        <v>5855</v>
      </c>
      <c r="BU252" s="310">
        <v>14</v>
      </c>
      <c r="BV252" s="310">
        <v>2</v>
      </c>
      <c r="BW252" s="310">
        <v>19</v>
      </c>
      <c r="BX252" s="310">
        <v>100</v>
      </c>
      <c r="BY252" s="310">
        <v>90</v>
      </c>
      <c r="BZ252" s="18">
        <v>240</v>
      </c>
      <c r="CA252" s="310" t="s">
        <v>4572</v>
      </c>
      <c r="CB252" s="310" t="s">
        <v>4619</v>
      </c>
      <c r="CC252" s="21">
        <v>0</v>
      </c>
      <c r="CD252" s="21">
        <f>10*PI()*16^2/4</f>
        <v>2010.6192982974676</v>
      </c>
      <c r="CE252" s="310">
        <v>30</v>
      </c>
      <c r="CF252" s="132">
        <f>10*PI()*16^2/4/BL252/BM252</f>
        <v>1.1170107212763708E-2</v>
      </c>
      <c r="CG252" s="106" t="s">
        <v>4449</v>
      </c>
      <c r="CH252" s="310">
        <v>235</v>
      </c>
      <c r="CI252" s="310">
        <v>287</v>
      </c>
      <c r="CJ252" s="310">
        <v>360</v>
      </c>
      <c r="CK252" s="21">
        <v>443.5</v>
      </c>
      <c r="CL252" s="66">
        <v>200000</v>
      </c>
      <c r="CM252" s="106" t="s">
        <v>4449</v>
      </c>
      <c r="CN252" s="310">
        <v>235</v>
      </c>
      <c r="CO252" s="21">
        <v>266.5</v>
      </c>
      <c r="CP252" s="310">
        <v>360</v>
      </c>
      <c r="CQ252" s="21">
        <v>451.5</v>
      </c>
      <c r="CR252" s="66">
        <v>200000</v>
      </c>
      <c r="CS252" s="32" t="s">
        <v>4449</v>
      </c>
      <c r="CT252" s="59">
        <v>235</v>
      </c>
      <c r="CU252" s="310">
        <v>231</v>
      </c>
      <c r="CV252" s="46">
        <v>360</v>
      </c>
      <c r="CW252" s="310">
        <v>392</v>
      </c>
      <c r="CX252" s="66">
        <v>200000</v>
      </c>
      <c r="CY252" s="301" t="s">
        <v>5796</v>
      </c>
      <c r="CZ252" s="21">
        <v>30</v>
      </c>
      <c r="DA252" s="33">
        <v>2.9</v>
      </c>
      <c r="DB252" s="67">
        <v>20500</v>
      </c>
      <c r="DC252" s="310">
        <v>579</v>
      </c>
      <c r="DD252" s="32">
        <v>650</v>
      </c>
      <c r="DE252" s="66">
        <v>200000</v>
      </c>
      <c r="DF252" s="274" t="s">
        <v>5791</v>
      </c>
      <c r="DG252" s="310">
        <v>8.8000000000000007</v>
      </c>
      <c r="DH252" s="310">
        <v>640</v>
      </c>
      <c r="DI252" s="32">
        <v>730</v>
      </c>
      <c r="DJ252" s="310">
        <v>800</v>
      </c>
      <c r="DK252" s="32">
        <v>940</v>
      </c>
      <c r="DL252" s="66">
        <v>205000</v>
      </c>
      <c r="DM252" s="129" t="s">
        <v>4775</v>
      </c>
      <c r="DN252" s="301" t="s">
        <v>4435</v>
      </c>
      <c r="DO252" s="306" t="s">
        <v>4565</v>
      </c>
    </row>
    <row r="253" spans="1:119">
      <c r="A253" s="301">
        <v>248</v>
      </c>
      <c r="B253" s="349"/>
      <c r="C253" s="349"/>
      <c r="D253" s="360"/>
      <c r="E253" s="360"/>
      <c r="F253" s="349"/>
      <c r="G253" s="349"/>
      <c r="H253" s="349"/>
      <c r="I253" s="349"/>
      <c r="J253" s="286" t="s">
        <v>4617</v>
      </c>
      <c r="K253" s="301" t="s">
        <v>4383</v>
      </c>
      <c r="L253" s="310" t="s">
        <v>5791</v>
      </c>
      <c r="M253" s="301" t="s">
        <v>4507</v>
      </c>
      <c r="N253" s="310" t="s">
        <v>4701</v>
      </c>
      <c r="O253" s="18" t="s">
        <v>4506</v>
      </c>
      <c r="P253" s="310" t="s">
        <v>4470</v>
      </c>
      <c r="Q253" s="310" t="s">
        <v>4470</v>
      </c>
      <c r="R253" s="310" t="s">
        <v>4420</v>
      </c>
      <c r="S253" s="310" t="s">
        <v>5791</v>
      </c>
      <c r="T253" s="59" t="s">
        <v>4420</v>
      </c>
      <c r="U253" s="59" t="s">
        <v>5791</v>
      </c>
      <c r="V253" s="59" t="s">
        <v>4420</v>
      </c>
      <c r="W253" s="59" t="s">
        <v>5791</v>
      </c>
      <c r="X253" s="310" t="s">
        <v>4420</v>
      </c>
      <c r="Y253" s="310" t="s">
        <v>5791</v>
      </c>
      <c r="Z253" s="310" t="s">
        <v>4558</v>
      </c>
      <c r="AA253" s="18">
        <v>10</v>
      </c>
      <c r="AB253" s="223">
        <v>0</v>
      </c>
      <c r="AC253" s="18">
        <v>0</v>
      </c>
      <c r="AD253" s="301" t="s">
        <v>4341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1" t="s">
        <v>4219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2"/>
        <v>9.8000000000000114</v>
      </c>
      <c r="AW253" s="301" t="s">
        <v>5806</v>
      </c>
      <c r="AX253" s="310" t="s">
        <v>4562</v>
      </c>
      <c r="AY253" s="310">
        <f t="shared" si="134"/>
        <v>40</v>
      </c>
      <c r="AZ253" s="310">
        <v>20</v>
      </c>
      <c r="BA253" s="310">
        <f t="shared" si="124"/>
        <v>245</v>
      </c>
      <c r="BB253" s="21">
        <v>60</v>
      </c>
      <c r="BC253" s="21">
        <f t="shared" si="127"/>
        <v>60</v>
      </c>
      <c r="BD253" s="21">
        <v>0</v>
      </c>
      <c r="BE253" s="21">
        <v>90</v>
      </c>
      <c r="BF253" s="21">
        <f t="shared" si="125"/>
        <v>210</v>
      </c>
      <c r="BG253" s="15" t="s">
        <v>4470</v>
      </c>
      <c r="BH253" s="310" t="s">
        <v>6204</v>
      </c>
      <c r="BI253" s="310" t="s">
        <v>6204</v>
      </c>
      <c r="BJ253" s="310">
        <v>2</v>
      </c>
      <c r="BK253" s="310">
        <v>4</v>
      </c>
      <c r="BL253" s="301">
        <v>120</v>
      </c>
      <c r="BM253" s="310">
        <v>1500</v>
      </c>
      <c r="BN253" s="197" t="s">
        <v>5791</v>
      </c>
      <c r="BO253" s="197" t="s">
        <v>5791</v>
      </c>
      <c r="BP253" s="197" t="s">
        <v>5791</v>
      </c>
      <c r="BQ253" s="197" t="s">
        <v>5791</v>
      </c>
      <c r="BR253" s="197" t="s">
        <v>5791</v>
      </c>
      <c r="BS253" s="197" t="s">
        <v>5791</v>
      </c>
      <c r="BT253" s="301" t="s">
        <v>5855</v>
      </c>
      <c r="BU253" s="310">
        <v>14</v>
      </c>
      <c r="BV253" s="310">
        <v>2</v>
      </c>
      <c r="BW253" s="310">
        <v>19</v>
      </c>
      <c r="BX253" s="310">
        <v>100</v>
      </c>
      <c r="BY253" s="310">
        <v>90</v>
      </c>
      <c r="BZ253" s="18">
        <v>240</v>
      </c>
      <c r="CA253" s="310" t="s">
        <v>4572</v>
      </c>
      <c r="CB253" s="310" t="s">
        <v>4619</v>
      </c>
      <c r="CC253" s="21">
        <v>0</v>
      </c>
      <c r="CD253" s="21">
        <f>10*PI()*16^2/4</f>
        <v>2010.6192982974676</v>
      </c>
      <c r="CE253" s="310">
        <v>30</v>
      </c>
      <c r="CF253" s="132">
        <f>10*PI()*16^2/4/BL253/BM253</f>
        <v>1.1170107212763708E-2</v>
      </c>
      <c r="CG253" s="106" t="s">
        <v>4449</v>
      </c>
      <c r="CH253" s="21">
        <v>235</v>
      </c>
      <c r="CI253" s="21">
        <v>287</v>
      </c>
      <c r="CJ253" s="21">
        <v>360</v>
      </c>
      <c r="CK253" s="21">
        <v>443.5</v>
      </c>
      <c r="CL253" s="66">
        <v>200000</v>
      </c>
      <c r="CM253" s="106" t="s">
        <v>4449</v>
      </c>
      <c r="CN253" s="21">
        <v>235</v>
      </c>
      <c r="CO253" s="21">
        <v>266.5</v>
      </c>
      <c r="CP253" s="21">
        <v>360</v>
      </c>
      <c r="CQ253" s="21">
        <v>451.5</v>
      </c>
      <c r="CR253" s="66">
        <v>200000</v>
      </c>
      <c r="CS253" s="32" t="s">
        <v>4449</v>
      </c>
      <c r="CT253" s="59">
        <v>235</v>
      </c>
      <c r="CU253" s="310">
        <v>231</v>
      </c>
      <c r="CV253" s="46">
        <v>360</v>
      </c>
      <c r="CW253" s="310">
        <v>392</v>
      </c>
      <c r="CX253" s="66">
        <v>200000</v>
      </c>
      <c r="CY253" s="301" t="s">
        <v>5796</v>
      </c>
      <c r="CZ253" s="21">
        <v>42.1</v>
      </c>
      <c r="DA253" s="33">
        <v>2.9</v>
      </c>
      <c r="DB253" s="67">
        <v>24500</v>
      </c>
      <c r="DC253" s="310">
        <v>579</v>
      </c>
      <c r="DD253" s="32">
        <v>650</v>
      </c>
      <c r="DE253" s="66">
        <v>200000</v>
      </c>
      <c r="DF253" s="274" t="s">
        <v>5791</v>
      </c>
      <c r="DG253" s="310">
        <v>8.8000000000000007</v>
      </c>
      <c r="DH253" s="310">
        <v>640</v>
      </c>
      <c r="DI253" s="32">
        <v>730</v>
      </c>
      <c r="DJ253" s="310">
        <v>800</v>
      </c>
      <c r="DK253" s="32">
        <v>940</v>
      </c>
      <c r="DL253" s="66">
        <v>205000</v>
      </c>
      <c r="DM253" s="129" t="s">
        <v>4799</v>
      </c>
      <c r="DN253" s="301" t="s">
        <v>4435</v>
      </c>
      <c r="DO253" s="306" t="s">
        <v>6118</v>
      </c>
    </row>
    <row r="254" spans="1:119">
      <c r="A254" s="301">
        <v>249</v>
      </c>
      <c r="B254" s="349"/>
      <c r="C254" s="349"/>
      <c r="D254" s="360"/>
      <c r="E254" s="360"/>
      <c r="F254" s="349"/>
      <c r="G254" s="349"/>
      <c r="H254" s="349"/>
      <c r="I254" s="349"/>
      <c r="J254" s="286" t="s">
        <v>4618</v>
      </c>
      <c r="K254" s="301" t="s">
        <v>4383</v>
      </c>
      <c r="L254" s="310" t="s">
        <v>5791</v>
      </c>
      <c r="M254" s="301" t="s">
        <v>4507</v>
      </c>
      <c r="N254" s="310" t="s">
        <v>4701</v>
      </c>
      <c r="O254" s="18" t="s">
        <v>4506</v>
      </c>
      <c r="P254" s="310" t="s">
        <v>4470</v>
      </c>
      <c r="Q254" s="310" t="s">
        <v>4470</v>
      </c>
      <c r="R254" s="310" t="s">
        <v>4420</v>
      </c>
      <c r="S254" s="310" t="s">
        <v>5791</v>
      </c>
      <c r="T254" s="59" t="s">
        <v>4420</v>
      </c>
      <c r="U254" s="59" t="s">
        <v>5791</v>
      </c>
      <c r="V254" s="59" t="s">
        <v>4420</v>
      </c>
      <c r="W254" s="59" t="s">
        <v>5791</v>
      </c>
      <c r="X254" s="310" t="s">
        <v>4420</v>
      </c>
      <c r="Y254" s="310" t="s">
        <v>5791</v>
      </c>
      <c r="Z254" s="310" t="s">
        <v>4558</v>
      </c>
      <c r="AA254" s="18">
        <v>10</v>
      </c>
      <c r="AB254" s="223">
        <v>0</v>
      </c>
      <c r="AC254" s="18">
        <v>0</v>
      </c>
      <c r="AD254" s="301" t="s">
        <v>4341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1" t="s">
        <v>4219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2"/>
        <v>9.8000000000000114</v>
      </c>
      <c r="AW254" s="301" t="s">
        <v>5806</v>
      </c>
      <c r="AX254" s="310" t="s">
        <v>4562</v>
      </c>
      <c r="AY254" s="310">
        <f t="shared" si="134"/>
        <v>40</v>
      </c>
      <c r="AZ254" s="310">
        <v>20</v>
      </c>
      <c r="BA254" s="310">
        <f t="shared" si="124"/>
        <v>245</v>
      </c>
      <c r="BB254" s="21">
        <v>60</v>
      </c>
      <c r="BC254" s="21">
        <f t="shared" si="127"/>
        <v>60</v>
      </c>
      <c r="BD254" s="21">
        <v>0</v>
      </c>
      <c r="BE254" s="21">
        <v>90</v>
      </c>
      <c r="BF254" s="21">
        <f t="shared" si="125"/>
        <v>210</v>
      </c>
      <c r="BG254" s="15" t="s">
        <v>4470</v>
      </c>
      <c r="BH254" s="310" t="s">
        <v>6204</v>
      </c>
      <c r="BI254" s="310" t="s">
        <v>6204</v>
      </c>
      <c r="BJ254" s="310">
        <v>2</v>
      </c>
      <c r="BK254" s="310">
        <v>4</v>
      </c>
      <c r="BL254" s="301">
        <v>120</v>
      </c>
      <c r="BM254" s="310">
        <v>1500</v>
      </c>
      <c r="BN254" s="197" t="s">
        <v>5791</v>
      </c>
      <c r="BO254" s="197" t="s">
        <v>5791</v>
      </c>
      <c r="BP254" s="197" t="s">
        <v>5791</v>
      </c>
      <c r="BQ254" s="197" t="s">
        <v>5791</v>
      </c>
      <c r="BR254" s="197" t="s">
        <v>5791</v>
      </c>
      <c r="BS254" s="197" t="s">
        <v>5791</v>
      </c>
      <c r="BT254" s="301" t="s">
        <v>5855</v>
      </c>
      <c r="BU254" s="310">
        <v>14</v>
      </c>
      <c r="BV254" s="310">
        <v>2</v>
      </c>
      <c r="BW254" s="310">
        <v>19</v>
      </c>
      <c r="BX254" s="310">
        <v>100</v>
      </c>
      <c r="BY254" s="310">
        <v>90</v>
      </c>
      <c r="BZ254" s="18">
        <v>240</v>
      </c>
      <c r="CA254" s="310" t="s">
        <v>4572</v>
      </c>
      <c r="CB254" s="310" t="s">
        <v>4619</v>
      </c>
      <c r="CC254" s="21">
        <v>0</v>
      </c>
      <c r="CD254" s="21">
        <f>10*PI()*16^2/4</f>
        <v>2010.6192982974676</v>
      </c>
      <c r="CE254" s="310">
        <v>30</v>
      </c>
      <c r="CF254" s="132">
        <f>10*PI()*16^2/4/BL254/BM254</f>
        <v>1.1170107212763708E-2</v>
      </c>
      <c r="CG254" s="106" t="s">
        <v>4449</v>
      </c>
      <c r="CH254" s="21">
        <v>235</v>
      </c>
      <c r="CI254" s="21">
        <v>287</v>
      </c>
      <c r="CJ254" s="21">
        <v>360</v>
      </c>
      <c r="CK254" s="21">
        <v>443.5</v>
      </c>
      <c r="CL254" s="66">
        <v>200000</v>
      </c>
      <c r="CM254" s="106" t="s">
        <v>4449</v>
      </c>
      <c r="CN254" s="21">
        <v>235</v>
      </c>
      <c r="CO254" s="21">
        <v>266.5</v>
      </c>
      <c r="CP254" s="21">
        <v>360</v>
      </c>
      <c r="CQ254" s="21">
        <v>451.5</v>
      </c>
      <c r="CR254" s="66">
        <v>200000</v>
      </c>
      <c r="CS254" s="32" t="s">
        <v>4449</v>
      </c>
      <c r="CT254" s="46">
        <v>235</v>
      </c>
      <c r="CU254" s="310">
        <v>231</v>
      </c>
      <c r="CV254" s="46">
        <v>360</v>
      </c>
      <c r="CW254" s="310">
        <v>392</v>
      </c>
      <c r="CX254" s="66">
        <v>200000</v>
      </c>
      <c r="CY254" s="301" t="s">
        <v>5796</v>
      </c>
      <c r="CZ254" s="21">
        <v>36.5</v>
      </c>
      <c r="DA254" s="33">
        <v>2.9</v>
      </c>
      <c r="DB254" s="67">
        <v>24500</v>
      </c>
      <c r="DC254" s="310">
        <v>579</v>
      </c>
      <c r="DD254" s="32">
        <v>650</v>
      </c>
      <c r="DE254" s="66">
        <v>200000</v>
      </c>
      <c r="DF254" s="274" t="s">
        <v>5791</v>
      </c>
      <c r="DG254" s="310">
        <v>8.8000000000000007</v>
      </c>
      <c r="DH254" s="310">
        <v>640</v>
      </c>
      <c r="DI254" s="32">
        <v>730</v>
      </c>
      <c r="DJ254" s="310">
        <v>800</v>
      </c>
      <c r="DK254" s="32">
        <v>940</v>
      </c>
      <c r="DL254" s="66">
        <v>205000</v>
      </c>
      <c r="DM254" s="129" t="s">
        <v>4799</v>
      </c>
      <c r="DN254" s="301" t="s">
        <v>4435</v>
      </c>
      <c r="DO254" s="306" t="s">
        <v>6015</v>
      </c>
    </row>
    <row r="255" spans="1:119">
      <c r="A255" s="301">
        <v>250</v>
      </c>
      <c r="B255" s="349"/>
      <c r="C255" s="349"/>
      <c r="D255" s="360"/>
      <c r="E255" s="360"/>
      <c r="F255" s="349"/>
      <c r="G255" s="349"/>
      <c r="H255" s="349"/>
      <c r="I255" s="349"/>
      <c r="J255" s="286" t="s">
        <v>4621</v>
      </c>
      <c r="K255" s="301" t="s">
        <v>4534</v>
      </c>
      <c r="L255" s="310" t="s">
        <v>6059</v>
      </c>
      <c r="M255" s="301" t="s">
        <v>4507</v>
      </c>
      <c r="N255" s="310" t="s">
        <v>4699</v>
      </c>
      <c r="O255" s="18" t="s">
        <v>4506</v>
      </c>
      <c r="P255" s="310" t="s">
        <v>4420</v>
      </c>
      <c r="Q255" s="310" t="s">
        <v>4420</v>
      </c>
      <c r="R255" s="310" t="s">
        <v>4420</v>
      </c>
      <c r="S255" s="310" t="s">
        <v>5791</v>
      </c>
      <c r="T255" s="59" t="s">
        <v>4420</v>
      </c>
      <c r="U255" s="59" t="s">
        <v>5791</v>
      </c>
      <c r="V255" s="59" t="s">
        <v>4420</v>
      </c>
      <c r="W255" s="59" t="s">
        <v>5791</v>
      </c>
      <c r="X255" s="310" t="s">
        <v>4420</v>
      </c>
      <c r="Y255" s="310" t="s">
        <v>5791</v>
      </c>
      <c r="Z255" s="310" t="s">
        <v>4558</v>
      </c>
      <c r="AA255" s="18">
        <v>10</v>
      </c>
      <c r="AB255" s="223">
        <v>0</v>
      </c>
      <c r="AC255" s="18">
        <v>0</v>
      </c>
      <c r="AD255" s="301" t="s">
        <v>4352</v>
      </c>
      <c r="AE255" s="21">
        <f>INDEX('[2]Cross-Section Database'!$C$2:$V$2928,MATCH(AD255,'[2]Cross-Section Database'!$B$2:$B$2928,0),3)</f>
        <v>307.89999999999998</v>
      </c>
      <c r="AF255" s="21">
        <f>INDEX('[2]Cross-Section Database'!$C$2:$V$2928,MATCH(AD255,'[2]Cross-Section Database'!$B$2:$B$2928,0),4)</f>
        <v>305.3</v>
      </c>
      <c r="AG255" s="21">
        <f>INDEX('[2]Cross-Section Database'!$C$2:$V$2928,MATCH(AD255,'[2]Cross-Section Database'!$B$2:$B$2928,0),6)</f>
        <v>15.4</v>
      </c>
      <c r="AH255" s="21">
        <f>INDEX('[2]Cross-Section Database'!$C$2:$V$2928,MATCH(AD255,'[2]Cross-Section Database'!$B$2:$B$2928,0),5)</f>
        <v>9.9</v>
      </c>
      <c r="AI255" s="21">
        <v>3470</v>
      </c>
      <c r="AJ255" s="301" t="s">
        <v>4219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350</v>
      </c>
      <c r="AU255" s="21">
        <v>20</v>
      </c>
      <c r="AV255" s="21">
        <f t="shared" si="122"/>
        <v>19.800000000000011</v>
      </c>
      <c r="AW255" s="301" t="s">
        <v>5806</v>
      </c>
      <c r="AX255" s="310" t="s">
        <v>4562</v>
      </c>
      <c r="AY255" s="310">
        <f t="shared" si="134"/>
        <v>40</v>
      </c>
      <c r="AZ255" s="310">
        <v>20</v>
      </c>
      <c r="BA255" s="310">
        <f>IF(AZ255=24,353,IF(AZ255=22,303,IF(AZ255=20,245,IF(AZ255=16,157,0))))</f>
        <v>245</v>
      </c>
      <c r="BB255" s="21">
        <v>69.55</v>
      </c>
      <c r="BC255" s="21">
        <f>BB255</f>
        <v>69.55</v>
      </c>
      <c r="BD255" s="21">
        <v>0</v>
      </c>
      <c r="BE255" s="21">
        <v>90</v>
      </c>
      <c r="BF255" s="21">
        <f t="shared" si="125"/>
        <v>210.89999999999998</v>
      </c>
      <c r="BG255" s="15" t="s">
        <v>4470</v>
      </c>
      <c r="BH255" s="310" t="s">
        <v>6204</v>
      </c>
      <c r="BI255" s="310" t="s">
        <v>6204</v>
      </c>
      <c r="BJ255" s="310">
        <v>2</v>
      </c>
      <c r="BK255" s="310">
        <v>4</v>
      </c>
      <c r="BL255" s="196" t="s">
        <v>5791</v>
      </c>
      <c r="BM255" s="197" t="s">
        <v>5791</v>
      </c>
      <c r="BN255" s="197" t="s">
        <v>5791</v>
      </c>
      <c r="BO255" s="197" t="s">
        <v>5791</v>
      </c>
      <c r="BP255" s="197" t="s">
        <v>5791</v>
      </c>
      <c r="BQ255" s="197" t="s">
        <v>5791</v>
      </c>
      <c r="BR255" s="197" t="s">
        <v>5791</v>
      </c>
      <c r="BS255" s="197" t="s">
        <v>5791</v>
      </c>
      <c r="BT255" s="196" t="s">
        <v>5791</v>
      </c>
      <c r="BU255" s="197" t="s">
        <v>5791</v>
      </c>
      <c r="BV255" s="197" t="s">
        <v>5791</v>
      </c>
      <c r="BW255" s="197" t="s">
        <v>5791</v>
      </c>
      <c r="BX255" s="197" t="s">
        <v>5791</v>
      </c>
      <c r="BY255" s="197" t="s">
        <v>5791</v>
      </c>
      <c r="BZ255" s="212" t="s">
        <v>5791</v>
      </c>
      <c r="CA255" s="197" t="s">
        <v>5791</v>
      </c>
      <c r="CB255" s="197" t="s">
        <v>5791</v>
      </c>
      <c r="CC255" s="197" t="s">
        <v>5791</v>
      </c>
      <c r="CD255" s="197" t="s">
        <v>5791</v>
      </c>
      <c r="CE255" s="197" t="s">
        <v>5791</v>
      </c>
      <c r="CF255" s="212" t="s">
        <v>5791</v>
      </c>
      <c r="CG255" s="106" t="s">
        <v>4450</v>
      </c>
      <c r="CH255" s="21">
        <v>275</v>
      </c>
      <c r="CI255" s="21">
        <v>395</v>
      </c>
      <c r="CJ255" s="21">
        <v>410</v>
      </c>
      <c r="CK255" s="21">
        <v>531.79999999999995</v>
      </c>
      <c r="CL255" s="66">
        <v>200000</v>
      </c>
      <c r="CM255" s="106" t="s">
        <v>4449</v>
      </c>
      <c r="CN255" s="21">
        <v>235</v>
      </c>
      <c r="CO255" s="21">
        <f>(308.2+284.4)/2</f>
        <v>296.29999999999995</v>
      </c>
      <c r="CP255" s="21">
        <v>360</v>
      </c>
      <c r="CQ255" s="21">
        <f>(469.1+458.7)/2</f>
        <v>463.9</v>
      </c>
      <c r="CR255" s="66">
        <v>200000</v>
      </c>
      <c r="CS255" s="32" t="s">
        <v>4449</v>
      </c>
      <c r="CT255" s="59">
        <v>235</v>
      </c>
      <c r="CU255" s="21">
        <v>265.3</v>
      </c>
      <c r="CV255" s="46">
        <v>360</v>
      </c>
      <c r="CW255" s="310">
        <v>438.1</v>
      </c>
      <c r="CX255" s="66">
        <v>200000</v>
      </c>
      <c r="CY255" s="201" t="s">
        <v>5791</v>
      </c>
      <c r="CZ255" s="202" t="s">
        <v>5791</v>
      </c>
      <c r="DA255" s="202" t="s">
        <v>5791</v>
      </c>
      <c r="DB255" s="203" t="s">
        <v>5791</v>
      </c>
      <c r="DC255" s="202" t="s">
        <v>5791</v>
      </c>
      <c r="DD255" s="202" t="s">
        <v>5791</v>
      </c>
      <c r="DE255" s="203" t="s">
        <v>5791</v>
      </c>
      <c r="DF255" s="274" t="s">
        <v>5791</v>
      </c>
      <c r="DG255" s="310">
        <v>10.9</v>
      </c>
      <c r="DH255" s="303">
        <v>900</v>
      </c>
      <c r="DI255" s="32">
        <v>990</v>
      </c>
      <c r="DJ255" s="303">
        <v>1000</v>
      </c>
      <c r="DK255" s="32">
        <v>1100</v>
      </c>
      <c r="DL255" s="66">
        <v>205000</v>
      </c>
      <c r="DM255" s="129" t="s">
        <v>5845</v>
      </c>
      <c r="DN255" s="301" t="s">
        <v>4435</v>
      </c>
      <c r="DO255" s="306" t="s">
        <v>4565</v>
      </c>
    </row>
    <row r="256" spans="1:119">
      <c r="A256" s="301">
        <v>251</v>
      </c>
      <c r="B256" s="349"/>
      <c r="C256" s="349"/>
      <c r="D256" s="360"/>
      <c r="E256" s="360"/>
      <c r="F256" s="349"/>
      <c r="G256" s="349"/>
      <c r="H256" s="349"/>
      <c r="I256" s="349"/>
      <c r="J256" s="286" t="s">
        <v>4595</v>
      </c>
      <c r="K256" s="301" t="s">
        <v>4383</v>
      </c>
      <c r="L256" s="310" t="s">
        <v>5791</v>
      </c>
      <c r="M256" s="301" t="s">
        <v>4507</v>
      </c>
      <c r="N256" s="310" t="s">
        <v>4699</v>
      </c>
      <c r="O256" s="18" t="s">
        <v>4506</v>
      </c>
      <c r="P256" s="310" t="s">
        <v>4470</v>
      </c>
      <c r="Q256" s="310" t="s">
        <v>4420</v>
      </c>
      <c r="R256" s="310" t="s">
        <v>4420</v>
      </c>
      <c r="S256" s="310" t="s">
        <v>5791</v>
      </c>
      <c r="T256" s="59" t="s">
        <v>4420</v>
      </c>
      <c r="U256" s="59" t="s">
        <v>5791</v>
      </c>
      <c r="V256" s="59" t="s">
        <v>4420</v>
      </c>
      <c r="W256" s="59" t="s">
        <v>5791</v>
      </c>
      <c r="X256" s="310" t="s">
        <v>4420</v>
      </c>
      <c r="Y256" s="310" t="s">
        <v>5791</v>
      </c>
      <c r="Z256" s="310" t="s">
        <v>4558</v>
      </c>
      <c r="AA256" s="18">
        <v>10</v>
      </c>
      <c r="AB256" s="223">
        <v>0</v>
      </c>
      <c r="AC256" s="18">
        <v>0</v>
      </c>
      <c r="AD256" s="301" t="s">
        <v>4352</v>
      </c>
      <c r="AE256" s="21">
        <f>INDEX('[2]Cross-Section Database'!$C$2:$V$2928,MATCH(AD256,'[2]Cross-Section Database'!$B$2:$B$2928,0),3)</f>
        <v>307.89999999999998</v>
      </c>
      <c r="AF256" s="21">
        <f>INDEX('[2]Cross-Section Database'!$C$2:$V$2928,MATCH(AD256,'[2]Cross-Section Database'!$B$2:$B$2928,0),4)</f>
        <v>305.3</v>
      </c>
      <c r="AG256" s="21">
        <f>INDEX('[2]Cross-Section Database'!$C$2:$V$2928,MATCH(AD256,'[2]Cross-Section Database'!$B$2:$B$2928,0),6)</f>
        <v>15.4</v>
      </c>
      <c r="AH256" s="21">
        <f>INDEX('[2]Cross-Section Database'!$C$2:$V$2928,MATCH(AD256,'[2]Cross-Section Database'!$B$2:$B$2928,0),5)</f>
        <v>9.9</v>
      </c>
      <c r="AI256" s="21">
        <v>3470</v>
      </c>
      <c r="AJ256" s="301" t="s">
        <v>4219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350</v>
      </c>
      <c r="AU256" s="21">
        <v>20</v>
      </c>
      <c r="AV256" s="21">
        <f t="shared" si="122"/>
        <v>19.800000000000011</v>
      </c>
      <c r="AW256" s="301" t="s">
        <v>5806</v>
      </c>
      <c r="AX256" s="310" t="s">
        <v>4562</v>
      </c>
      <c r="AY256" s="310">
        <f t="shared" si="134"/>
        <v>40</v>
      </c>
      <c r="AZ256" s="310">
        <v>20</v>
      </c>
      <c r="BA256" s="310">
        <f>IF(AZ256=24,353,IF(AZ256=22,303,IF(AZ256=20,245,IF(AZ256=16,157,0))))</f>
        <v>245</v>
      </c>
      <c r="BB256" s="21">
        <v>69.55</v>
      </c>
      <c r="BC256" s="21">
        <f>BB256</f>
        <v>69.55</v>
      </c>
      <c r="BD256" s="21">
        <v>0</v>
      </c>
      <c r="BE256" s="21">
        <v>90</v>
      </c>
      <c r="BF256" s="21">
        <f t="shared" si="125"/>
        <v>210.89999999999998</v>
      </c>
      <c r="BG256" s="15" t="s">
        <v>4470</v>
      </c>
      <c r="BH256" s="310" t="s">
        <v>6204</v>
      </c>
      <c r="BI256" s="310" t="s">
        <v>6204</v>
      </c>
      <c r="BJ256" s="310">
        <v>2</v>
      </c>
      <c r="BK256" s="310">
        <v>4</v>
      </c>
      <c r="BL256" s="301">
        <v>120</v>
      </c>
      <c r="BM256" s="310">
        <v>1500</v>
      </c>
      <c r="BN256" s="197" t="s">
        <v>5791</v>
      </c>
      <c r="BO256" s="197" t="s">
        <v>5791</v>
      </c>
      <c r="BP256" s="197" t="s">
        <v>5791</v>
      </c>
      <c r="BQ256" s="197" t="s">
        <v>5791</v>
      </c>
      <c r="BR256" s="197" t="s">
        <v>5791</v>
      </c>
      <c r="BS256" s="197" t="s">
        <v>5791</v>
      </c>
      <c r="BT256" s="301" t="s">
        <v>5855</v>
      </c>
      <c r="BU256" s="310">
        <v>24</v>
      </c>
      <c r="BV256" s="310">
        <v>2</v>
      </c>
      <c r="BW256" s="310">
        <v>19</v>
      </c>
      <c r="BX256" s="310">
        <v>100</v>
      </c>
      <c r="BY256" s="310">
        <v>90</v>
      </c>
      <c r="BZ256" s="18">
        <v>130</v>
      </c>
      <c r="CA256" s="310" t="s">
        <v>4572</v>
      </c>
      <c r="CB256" s="310" t="s">
        <v>4619</v>
      </c>
      <c r="CC256" s="21">
        <v>0</v>
      </c>
      <c r="CD256" s="21">
        <f>10*PI()*16^2/4</f>
        <v>2010.6192982974676</v>
      </c>
      <c r="CE256" s="310">
        <v>30</v>
      </c>
      <c r="CF256" s="132">
        <v>1.12E-2</v>
      </c>
      <c r="CG256" s="106" t="s">
        <v>4450</v>
      </c>
      <c r="CH256" s="21">
        <v>275</v>
      </c>
      <c r="CI256" s="21">
        <v>395</v>
      </c>
      <c r="CJ256" s="21">
        <v>410</v>
      </c>
      <c r="CK256" s="21">
        <v>531.79999999999995</v>
      </c>
      <c r="CL256" s="66">
        <v>200000</v>
      </c>
      <c r="CM256" s="106" t="s">
        <v>4449</v>
      </c>
      <c r="CN256" s="21">
        <v>235</v>
      </c>
      <c r="CO256" s="21">
        <f>(308.2+284.4)/2</f>
        <v>296.29999999999995</v>
      </c>
      <c r="CP256" s="21">
        <v>360</v>
      </c>
      <c r="CQ256" s="21">
        <f>(469.1+458.7)/2</f>
        <v>463.9</v>
      </c>
      <c r="CR256" s="66">
        <v>200000</v>
      </c>
      <c r="CS256" s="32" t="s">
        <v>4449</v>
      </c>
      <c r="CT256" s="59">
        <v>235</v>
      </c>
      <c r="CU256" s="21">
        <v>265.3</v>
      </c>
      <c r="CV256" s="46">
        <v>360</v>
      </c>
      <c r="CW256" s="310">
        <v>438.1</v>
      </c>
      <c r="CX256" s="66">
        <v>200000</v>
      </c>
      <c r="CY256" s="301" t="s">
        <v>5796</v>
      </c>
      <c r="CZ256" s="21">
        <v>30.9</v>
      </c>
      <c r="DA256" s="33">
        <v>2.9</v>
      </c>
      <c r="DB256" s="67">
        <v>21500</v>
      </c>
      <c r="DC256" s="21">
        <v>495</v>
      </c>
      <c r="DD256" s="32">
        <v>650</v>
      </c>
      <c r="DE256" s="66">
        <v>200000</v>
      </c>
      <c r="DF256" s="274" t="s">
        <v>5791</v>
      </c>
      <c r="DG256" s="310">
        <v>10.9</v>
      </c>
      <c r="DH256" s="303">
        <v>900</v>
      </c>
      <c r="DI256" s="32">
        <v>990</v>
      </c>
      <c r="DJ256" s="303">
        <v>1000</v>
      </c>
      <c r="DK256" s="32">
        <v>1100</v>
      </c>
      <c r="DL256" s="66">
        <v>205000</v>
      </c>
      <c r="DM256" s="129" t="s">
        <v>5846</v>
      </c>
      <c r="DN256" s="301" t="s">
        <v>4435</v>
      </c>
      <c r="DO256" s="306" t="s">
        <v>4565</v>
      </c>
    </row>
    <row r="257" spans="1:119">
      <c r="A257" s="301">
        <v>252</v>
      </c>
      <c r="B257" s="349"/>
      <c r="C257" s="349"/>
      <c r="D257" s="360"/>
      <c r="E257" s="360"/>
      <c r="F257" s="349"/>
      <c r="G257" s="349"/>
      <c r="H257" s="349"/>
      <c r="I257" s="349"/>
      <c r="J257" s="286" t="s">
        <v>4596</v>
      </c>
      <c r="K257" s="301" t="s">
        <v>4534</v>
      </c>
      <c r="L257" s="310" t="s">
        <v>6059</v>
      </c>
      <c r="M257" s="301" t="s">
        <v>4507</v>
      </c>
      <c r="N257" s="310" t="s">
        <v>4699</v>
      </c>
      <c r="O257" s="18" t="s">
        <v>4506</v>
      </c>
      <c r="P257" s="310" t="s">
        <v>4470</v>
      </c>
      <c r="Q257" s="310" t="s">
        <v>4420</v>
      </c>
      <c r="R257" s="310" t="s">
        <v>4420</v>
      </c>
      <c r="S257" s="310" t="s">
        <v>5791</v>
      </c>
      <c r="T257" s="59" t="s">
        <v>4420</v>
      </c>
      <c r="U257" s="59" t="s">
        <v>5791</v>
      </c>
      <c r="V257" s="59" t="s">
        <v>4420</v>
      </c>
      <c r="W257" s="59" t="s">
        <v>5791</v>
      </c>
      <c r="X257" s="310" t="s">
        <v>4420</v>
      </c>
      <c r="Y257" s="310" t="s">
        <v>5791</v>
      </c>
      <c r="Z257" s="310" t="s">
        <v>4558</v>
      </c>
      <c r="AA257" s="18">
        <v>10</v>
      </c>
      <c r="AB257" s="223">
        <v>0</v>
      </c>
      <c r="AC257" s="18">
        <v>0</v>
      </c>
      <c r="AD257" s="301" t="s">
        <v>4352</v>
      </c>
      <c r="AE257" s="21">
        <f>INDEX('[2]Cross-Section Database'!$C$2:$V$2928,MATCH(AD257,'[2]Cross-Section Database'!$B$2:$B$2928,0),3)</f>
        <v>307.89999999999998</v>
      </c>
      <c r="AF257" s="21">
        <f>INDEX('[2]Cross-Section Database'!$C$2:$V$2928,MATCH(AD257,'[2]Cross-Section Database'!$B$2:$B$2928,0),4)</f>
        <v>305.3</v>
      </c>
      <c r="AG257" s="21">
        <f>INDEX('[2]Cross-Section Database'!$C$2:$V$2928,MATCH(AD257,'[2]Cross-Section Database'!$B$2:$B$2928,0),6)</f>
        <v>15.4</v>
      </c>
      <c r="AH257" s="21">
        <f>INDEX('[2]Cross-Section Database'!$C$2:$V$2928,MATCH(AD257,'[2]Cross-Section Database'!$B$2:$B$2928,0),5)</f>
        <v>9.9</v>
      </c>
      <c r="AI257" s="21">
        <v>3470</v>
      </c>
      <c r="AJ257" s="301" t="s">
        <v>4219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350</v>
      </c>
      <c r="AU257" s="21">
        <v>20</v>
      </c>
      <c r="AV257" s="21">
        <f t="shared" si="122"/>
        <v>19.800000000000011</v>
      </c>
      <c r="AW257" s="301" t="s">
        <v>5806</v>
      </c>
      <c r="AX257" s="310" t="s">
        <v>4562</v>
      </c>
      <c r="AY257" s="310">
        <f t="shared" si="134"/>
        <v>40</v>
      </c>
      <c r="AZ257" s="310">
        <v>20</v>
      </c>
      <c r="BA257" s="310">
        <f t="shared" ref="BA257:BA289" si="135">IF(AZ257=24,353,IF(AZ257=22,303,IF(AZ257=20,245,IF(AZ257=16,157,0))))</f>
        <v>245</v>
      </c>
      <c r="BB257" s="21">
        <v>69.55</v>
      </c>
      <c r="BC257" s="21">
        <f>BB257</f>
        <v>69.55</v>
      </c>
      <c r="BD257" s="21">
        <v>0</v>
      </c>
      <c r="BE257" s="21">
        <v>90</v>
      </c>
      <c r="BF257" s="21">
        <f t="shared" si="125"/>
        <v>210.89999999999998</v>
      </c>
      <c r="BG257" s="15" t="s">
        <v>4470</v>
      </c>
      <c r="BH257" s="310" t="s">
        <v>6204</v>
      </c>
      <c r="BI257" s="310" t="s">
        <v>6204</v>
      </c>
      <c r="BJ257" s="310">
        <v>2</v>
      </c>
      <c r="BK257" s="310">
        <v>4</v>
      </c>
      <c r="BL257" s="301">
        <v>120</v>
      </c>
      <c r="BM257" s="310">
        <v>1500</v>
      </c>
      <c r="BN257" s="197" t="s">
        <v>5791</v>
      </c>
      <c r="BO257" s="197" t="s">
        <v>5791</v>
      </c>
      <c r="BP257" s="197" t="s">
        <v>5791</v>
      </c>
      <c r="BQ257" s="197" t="s">
        <v>5791</v>
      </c>
      <c r="BR257" s="197" t="s">
        <v>5791</v>
      </c>
      <c r="BS257" s="197" t="s">
        <v>5791</v>
      </c>
      <c r="BT257" s="301" t="s">
        <v>5855</v>
      </c>
      <c r="BU257" s="310">
        <v>24</v>
      </c>
      <c r="BV257" s="310">
        <v>2</v>
      </c>
      <c r="BW257" s="310">
        <v>19</v>
      </c>
      <c r="BX257" s="310">
        <v>100</v>
      </c>
      <c r="BY257" s="310">
        <v>90</v>
      </c>
      <c r="BZ257" s="18">
        <v>130</v>
      </c>
      <c r="CA257" s="310" t="s">
        <v>4572</v>
      </c>
      <c r="CB257" s="310" t="s">
        <v>4619</v>
      </c>
      <c r="CC257" s="21">
        <v>0</v>
      </c>
      <c r="CD257" s="21">
        <f>10*PI()*16^2/4</f>
        <v>2010.6192982974676</v>
      </c>
      <c r="CE257" s="310">
        <v>30</v>
      </c>
      <c r="CF257" s="132">
        <v>1.12E-2</v>
      </c>
      <c r="CG257" s="106" t="s">
        <v>4450</v>
      </c>
      <c r="CH257" s="21">
        <v>275</v>
      </c>
      <c r="CI257" s="21">
        <v>395</v>
      </c>
      <c r="CJ257" s="21">
        <v>410</v>
      </c>
      <c r="CK257" s="21">
        <v>531.79999999999995</v>
      </c>
      <c r="CL257" s="66">
        <v>200000</v>
      </c>
      <c r="CM257" s="106" t="s">
        <v>4449</v>
      </c>
      <c r="CN257" s="21">
        <v>235</v>
      </c>
      <c r="CO257" s="21">
        <f>(308.2+284.4)/2</f>
        <v>296.29999999999995</v>
      </c>
      <c r="CP257" s="21">
        <v>360</v>
      </c>
      <c r="CQ257" s="21">
        <f>(469.1+458.7)/2</f>
        <v>463.9</v>
      </c>
      <c r="CR257" s="66">
        <v>200000</v>
      </c>
      <c r="CS257" s="32" t="s">
        <v>4449</v>
      </c>
      <c r="CT257" s="59">
        <v>235</v>
      </c>
      <c r="CU257" s="21">
        <v>265.3</v>
      </c>
      <c r="CV257" s="46">
        <v>360</v>
      </c>
      <c r="CW257" s="310">
        <v>438.1</v>
      </c>
      <c r="CX257" s="66">
        <v>200000</v>
      </c>
      <c r="CY257" s="301" t="s">
        <v>5796</v>
      </c>
      <c r="CZ257" s="21">
        <v>34.200000000000003</v>
      </c>
      <c r="DA257" s="33">
        <v>2.9</v>
      </c>
      <c r="DB257" s="67">
        <v>21500</v>
      </c>
      <c r="DC257" s="21">
        <v>495</v>
      </c>
      <c r="DD257" s="32">
        <v>650</v>
      </c>
      <c r="DE257" s="66">
        <v>200000</v>
      </c>
      <c r="DF257" s="274" t="s">
        <v>5791</v>
      </c>
      <c r="DG257" s="310">
        <v>10.9</v>
      </c>
      <c r="DH257" s="303">
        <v>900</v>
      </c>
      <c r="DI257" s="32">
        <v>990</v>
      </c>
      <c r="DJ257" s="303">
        <v>1000</v>
      </c>
      <c r="DK257" s="32">
        <v>1100</v>
      </c>
      <c r="DL257" s="66">
        <v>205000</v>
      </c>
      <c r="DM257" s="129" t="s">
        <v>5846</v>
      </c>
      <c r="DN257" s="301" t="s">
        <v>4435</v>
      </c>
      <c r="DO257" s="306" t="s">
        <v>4565</v>
      </c>
    </row>
    <row r="258" spans="1:119">
      <c r="A258" s="301">
        <v>253</v>
      </c>
      <c r="B258" s="349"/>
      <c r="C258" s="349"/>
      <c r="D258" s="360"/>
      <c r="E258" s="360"/>
      <c r="F258" s="349"/>
      <c r="G258" s="349"/>
      <c r="H258" s="349"/>
      <c r="I258" s="349"/>
      <c r="J258" s="286" t="s">
        <v>4597</v>
      </c>
      <c r="K258" s="301" t="s">
        <v>4534</v>
      </c>
      <c r="L258" s="310" t="s">
        <v>6059</v>
      </c>
      <c r="M258" s="301" t="s">
        <v>4507</v>
      </c>
      <c r="N258" s="310" t="s">
        <v>4699</v>
      </c>
      <c r="O258" s="18" t="s">
        <v>4506</v>
      </c>
      <c r="P258" s="310" t="s">
        <v>4470</v>
      </c>
      <c r="Q258" s="310" t="s">
        <v>4420</v>
      </c>
      <c r="R258" s="310" t="s">
        <v>4420</v>
      </c>
      <c r="S258" s="310" t="s">
        <v>5791</v>
      </c>
      <c r="T258" s="59" t="s">
        <v>6337</v>
      </c>
      <c r="U258" s="59">
        <v>10</v>
      </c>
      <c r="V258" s="59" t="s">
        <v>4420</v>
      </c>
      <c r="W258" s="59" t="s">
        <v>5791</v>
      </c>
      <c r="X258" s="310" t="s">
        <v>4420</v>
      </c>
      <c r="Y258" s="310" t="s">
        <v>5791</v>
      </c>
      <c r="Z258" s="310" t="s">
        <v>4558</v>
      </c>
      <c r="AA258" s="18">
        <v>10</v>
      </c>
      <c r="AB258" s="223">
        <v>0</v>
      </c>
      <c r="AC258" s="18">
        <v>0</v>
      </c>
      <c r="AD258" s="301" t="s">
        <v>4352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1" t="s">
        <v>4219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2"/>
        <v>19.800000000000011</v>
      </c>
      <c r="AW258" s="301" t="s">
        <v>5806</v>
      </c>
      <c r="AX258" s="310" t="s">
        <v>4562</v>
      </c>
      <c r="AY258" s="310">
        <f t="shared" si="134"/>
        <v>40</v>
      </c>
      <c r="AZ258" s="310">
        <v>20</v>
      </c>
      <c r="BA258" s="310">
        <f t="shared" si="135"/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5"/>
        <v>210.89999999999998</v>
      </c>
      <c r="BG258" s="15" t="s">
        <v>4470</v>
      </c>
      <c r="BH258" s="310" t="s">
        <v>6204</v>
      </c>
      <c r="BI258" s="310" t="s">
        <v>6204</v>
      </c>
      <c r="BJ258" s="310">
        <v>2</v>
      </c>
      <c r="BK258" s="310">
        <v>4</v>
      </c>
      <c r="BL258" s="301">
        <v>120</v>
      </c>
      <c r="BM258" s="310">
        <v>1500</v>
      </c>
      <c r="BN258" s="197" t="s">
        <v>5791</v>
      </c>
      <c r="BO258" s="197" t="s">
        <v>5791</v>
      </c>
      <c r="BP258" s="197" t="s">
        <v>5791</v>
      </c>
      <c r="BQ258" s="197" t="s">
        <v>5791</v>
      </c>
      <c r="BR258" s="197" t="s">
        <v>5791</v>
      </c>
      <c r="BS258" s="197" t="s">
        <v>5791</v>
      </c>
      <c r="BT258" s="301" t="s">
        <v>5855</v>
      </c>
      <c r="BU258" s="310">
        <v>24</v>
      </c>
      <c r="BV258" s="310">
        <v>2</v>
      </c>
      <c r="BW258" s="310">
        <v>19</v>
      </c>
      <c r="BX258" s="310">
        <v>100</v>
      </c>
      <c r="BY258" s="310">
        <v>90</v>
      </c>
      <c r="BZ258" s="18">
        <v>130</v>
      </c>
      <c r="CA258" s="310" t="s">
        <v>4572</v>
      </c>
      <c r="CB258" s="310" t="s">
        <v>4619</v>
      </c>
      <c r="CC258" s="21">
        <v>0</v>
      </c>
      <c r="CD258" s="21">
        <f>10*PI()*16^2/4</f>
        <v>2010.6192982974676</v>
      </c>
      <c r="CE258" s="310">
        <v>30</v>
      </c>
      <c r="CF258" s="132">
        <v>1.12E-2</v>
      </c>
      <c r="CG258" s="106" t="s">
        <v>4450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4449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4449</v>
      </c>
      <c r="CT258" s="59">
        <v>235</v>
      </c>
      <c r="CU258" s="21">
        <v>265.3</v>
      </c>
      <c r="CV258" s="46">
        <v>360</v>
      </c>
      <c r="CW258" s="310">
        <v>438.1</v>
      </c>
      <c r="CX258" s="66">
        <v>200000</v>
      </c>
      <c r="CY258" s="301" t="s">
        <v>5796</v>
      </c>
      <c r="CZ258" s="21">
        <v>26.6</v>
      </c>
      <c r="DA258" s="33">
        <v>2.9</v>
      </c>
      <c r="DB258" s="67">
        <v>17500</v>
      </c>
      <c r="DC258" s="21">
        <v>495</v>
      </c>
      <c r="DD258" s="32">
        <v>650</v>
      </c>
      <c r="DE258" s="66">
        <v>200000</v>
      </c>
      <c r="DF258" s="274" t="s">
        <v>5791</v>
      </c>
      <c r="DG258" s="310">
        <v>10.9</v>
      </c>
      <c r="DH258" s="303">
        <v>900</v>
      </c>
      <c r="DI258" s="32">
        <v>990</v>
      </c>
      <c r="DJ258" s="303">
        <v>1000</v>
      </c>
      <c r="DK258" s="32">
        <v>1100</v>
      </c>
      <c r="DL258" s="66">
        <v>205000</v>
      </c>
      <c r="DM258" s="129" t="s">
        <v>5847</v>
      </c>
      <c r="DN258" s="301" t="s">
        <v>4435</v>
      </c>
      <c r="DO258" s="306" t="s">
        <v>4565</v>
      </c>
    </row>
    <row r="259" spans="1:119" ht="15.6" customHeight="1" thickBot="1">
      <c r="A259" s="301">
        <v>254</v>
      </c>
      <c r="B259" s="349"/>
      <c r="C259" s="349"/>
      <c r="D259" s="360"/>
      <c r="E259" s="360"/>
      <c r="F259" s="349"/>
      <c r="G259" s="349"/>
      <c r="H259" s="349"/>
      <c r="I259" s="349"/>
      <c r="J259" s="286" t="s">
        <v>4622</v>
      </c>
      <c r="K259" s="301" t="s">
        <v>4534</v>
      </c>
      <c r="L259" s="310" t="s">
        <v>6059</v>
      </c>
      <c r="M259" s="301" t="s">
        <v>4507</v>
      </c>
      <c r="N259" s="310" t="s">
        <v>4699</v>
      </c>
      <c r="O259" s="18" t="s">
        <v>4506</v>
      </c>
      <c r="P259" s="310" t="s">
        <v>4470</v>
      </c>
      <c r="Q259" s="310" t="s">
        <v>4470</v>
      </c>
      <c r="R259" s="310" t="s">
        <v>4420</v>
      </c>
      <c r="S259" s="310" t="s">
        <v>5791</v>
      </c>
      <c r="T259" s="59" t="s">
        <v>4420</v>
      </c>
      <c r="U259" s="59" t="s">
        <v>5791</v>
      </c>
      <c r="V259" s="59" t="s">
        <v>4420</v>
      </c>
      <c r="W259" s="59" t="s">
        <v>5791</v>
      </c>
      <c r="X259" s="310" t="s">
        <v>4420</v>
      </c>
      <c r="Y259" s="310" t="s">
        <v>5791</v>
      </c>
      <c r="Z259" s="310" t="s">
        <v>4558</v>
      </c>
      <c r="AA259" s="18">
        <v>10</v>
      </c>
      <c r="AB259" s="223">
        <v>0</v>
      </c>
      <c r="AC259" s="18">
        <v>0</v>
      </c>
      <c r="AD259" s="301" t="s">
        <v>4352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1" t="s">
        <v>4219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2"/>
        <v>19.800000000000011</v>
      </c>
      <c r="AW259" s="301" t="s">
        <v>5806</v>
      </c>
      <c r="AX259" s="310" t="s">
        <v>4562</v>
      </c>
      <c r="AY259" s="310">
        <f t="shared" si="134"/>
        <v>40</v>
      </c>
      <c r="AZ259" s="310">
        <v>20</v>
      </c>
      <c r="BA259" s="310">
        <f t="shared" si="135"/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5"/>
        <v>210.89999999999998</v>
      </c>
      <c r="BG259" s="15" t="s">
        <v>4470</v>
      </c>
      <c r="BH259" s="310" t="s">
        <v>6204</v>
      </c>
      <c r="BI259" s="310" t="s">
        <v>6204</v>
      </c>
      <c r="BJ259" s="310">
        <v>2</v>
      </c>
      <c r="BK259" s="310">
        <v>4</v>
      </c>
      <c r="BL259" s="301">
        <v>120</v>
      </c>
      <c r="BM259" s="310">
        <v>1500</v>
      </c>
      <c r="BN259" s="197" t="s">
        <v>5791</v>
      </c>
      <c r="BO259" s="197" t="s">
        <v>5791</v>
      </c>
      <c r="BP259" s="197" t="s">
        <v>5791</v>
      </c>
      <c r="BQ259" s="197" t="s">
        <v>5791</v>
      </c>
      <c r="BR259" s="197" t="s">
        <v>5791</v>
      </c>
      <c r="BS259" s="197" t="s">
        <v>5791</v>
      </c>
      <c r="BT259" s="301" t="s">
        <v>5855</v>
      </c>
      <c r="BU259" s="310">
        <v>24</v>
      </c>
      <c r="BV259" s="310">
        <v>2</v>
      </c>
      <c r="BW259" s="310">
        <v>19</v>
      </c>
      <c r="BX259" s="310">
        <v>100</v>
      </c>
      <c r="BY259" s="310">
        <v>90</v>
      </c>
      <c r="BZ259" s="18">
        <v>130</v>
      </c>
      <c r="CA259" s="310" t="s">
        <v>4572</v>
      </c>
      <c r="CB259" s="310" t="s">
        <v>4619</v>
      </c>
      <c r="CC259" s="21">
        <v>0</v>
      </c>
      <c r="CD259" s="21">
        <f>10*PI()*16^2/4</f>
        <v>2010.6192982974676</v>
      </c>
      <c r="CE259" s="310">
        <v>30</v>
      </c>
      <c r="CF259" s="132">
        <v>1.12E-2</v>
      </c>
      <c r="CG259" s="106" t="s">
        <v>4450</v>
      </c>
      <c r="CH259" s="21">
        <v>275</v>
      </c>
      <c r="CI259" s="21">
        <v>324.8</v>
      </c>
      <c r="CJ259" s="21">
        <v>410</v>
      </c>
      <c r="CK259" s="21">
        <f>(462.4+459.7)/2</f>
        <v>461.04999999999995</v>
      </c>
      <c r="CL259" s="66">
        <v>200000</v>
      </c>
      <c r="CM259" s="106" t="s">
        <v>4449</v>
      </c>
      <c r="CN259" s="21">
        <v>235</v>
      </c>
      <c r="CO259" s="21">
        <f>(287.3+284.2)/2</f>
        <v>285.75</v>
      </c>
      <c r="CP259" s="21">
        <v>360</v>
      </c>
      <c r="CQ259" s="21">
        <f>(443.7+436.2)/2</f>
        <v>439.95</v>
      </c>
      <c r="CR259" s="66">
        <v>200000</v>
      </c>
      <c r="CS259" s="32" t="s">
        <v>4449</v>
      </c>
      <c r="CT259" s="59">
        <v>235</v>
      </c>
      <c r="CU259" s="21">
        <v>263.8</v>
      </c>
      <c r="CV259" s="46">
        <v>360</v>
      </c>
      <c r="CW259" s="310">
        <v>437.9</v>
      </c>
      <c r="CX259" s="66">
        <v>200000</v>
      </c>
      <c r="CY259" s="301" t="s">
        <v>5796</v>
      </c>
      <c r="CZ259" s="21">
        <v>26.1</v>
      </c>
      <c r="DA259" s="33">
        <v>2.9</v>
      </c>
      <c r="DB259" s="67">
        <v>18100</v>
      </c>
      <c r="DC259" s="21">
        <v>495</v>
      </c>
      <c r="DD259" s="32">
        <v>650</v>
      </c>
      <c r="DE259" s="66">
        <v>200000</v>
      </c>
      <c r="DF259" s="274" t="s">
        <v>5791</v>
      </c>
      <c r="DG259" s="310">
        <v>10.9</v>
      </c>
      <c r="DH259" s="303">
        <v>900</v>
      </c>
      <c r="DI259" s="32">
        <v>990</v>
      </c>
      <c r="DJ259" s="303">
        <v>1000</v>
      </c>
      <c r="DK259" s="32">
        <v>1100</v>
      </c>
      <c r="DL259" s="66">
        <v>205000</v>
      </c>
      <c r="DM259" s="129" t="s">
        <v>5846</v>
      </c>
      <c r="DN259" s="301" t="s">
        <v>4435</v>
      </c>
      <c r="DO259" s="307" t="s">
        <v>6015</v>
      </c>
    </row>
    <row r="260" spans="1:119" ht="15.6" customHeight="1">
      <c r="A260" s="300">
        <v>255</v>
      </c>
      <c r="B260" s="348">
        <v>35</v>
      </c>
      <c r="C260" s="348">
        <v>2004</v>
      </c>
      <c r="D260" s="348" t="s">
        <v>4670</v>
      </c>
      <c r="E260" s="348" t="s">
        <v>6144</v>
      </c>
      <c r="F260" s="348">
        <v>3</v>
      </c>
      <c r="G260" s="348" t="s">
        <v>6142</v>
      </c>
      <c r="H260" s="348" t="s">
        <v>4675</v>
      </c>
      <c r="I260" s="348" t="s">
        <v>6241</v>
      </c>
      <c r="J260" s="284" t="s">
        <v>6135</v>
      </c>
      <c r="K260" s="300" t="s">
        <v>6324</v>
      </c>
      <c r="L260" s="17" t="s">
        <v>6140</v>
      </c>
      <c r="M260" s="300" t="s">
        <v>4507</v>
      </c>
      <c r="N260" s="309" t="s">
        <v>6138</v>
      </c>
      <c r="O260" s="17" t="s">
        <v>4506</v>
      </c>
      <c r="P260" s="309" t="s">
        <v>6317</v>
      </c>
      <c r="Q260" s="309" t="s">
        <v>4420</v>
      </c>
      <c r="R260" s="309" t="s">
        <v>6165</v>
      </c>
      <c r="S260" s="30">
        <v>25</v>
      </c>
      <c r="T260" s="64" t="s">
        <v>4420</v>
      </c>
      <c r="U260" s="64" t="s">
        <v>5791</v>
      </c>
      <c r="V260" s="64" t="s">
        <v>4420</v>
      </c>
      <c r="W260" s="64" t="s">
        <v>5791</v>
      </c>
      <c r="X260" s="309" t="s">
        <v>4420</v>
      </c>
      <c r="Y260" s="309" t="s">
        <v>5791</v>
      </c>
      <c r="Z260" s="309" t="s">
        <v>4558</v>
      </c>
      <c r="AA260" s="17">
        <v>10</v>
      </c>
      <c r="AB260" s="232">
        <v>0</v>
      </c>
      <c r="AC260" s="17">
        <v>0</v>
      </c>
      <c r="AD260" s="300" t="s">
        <v>3982</v>
      </c>
      <c r="AE260" s="16">
        <f>INDEX('[2]Cross-Section Database'!$C$2:$V$2928,MATCH(AD260,'[2]Cross-Section Database'!$B$2:$B$2928,0),3)</f>
        <v>230</v>
      </c>
      <c r="AF260" s="16">
        <f>INDEX('[2]Cross-Section Database'!$C$2:$V$2928,MATCH(AD260,'[2]Cross-Section Database'!$B$2:$B$2928,0),4)</f>
        <v>240</v>
      </c>
      <c r="AG260" s="44">
        <f>INDEX('[2]Cross-Section Database'!$C$2:$V$2928,MATCH(AD260,'[2]Cross-Section Database'!$B$2:$B$2928,0),6)</f>
        <v>12</v>
      </c>
      <c r="AH260" s="44">
        <f>INDEX('[2]Cross-Section Database'!$C$2:$V$2928,MATCH(AD260,'[2]Cross-Section Database'!$B$2:$B$2928,0),5)</f>
        <v>7.5</v>
      </c>
      <c r="AI260" s="31">
        <v>1300</v>
      </c>
      <c r="AJ260" s="300" t="s">
        <v>4011</v>
      </c>
      <c r="AK260" s="16">
        <f>INDEX('[2]Cross-Section Database'!$C$2:$V$3928,MATCH(AJ260,'[2]Cross-Section Database'!$B$2:$B$3928,0),3)</f>
        <v>350</v>
      </c>
      <c r="AL260" s="16">
        <f>INDEX('[2]Cross-Section Database'!$C$2:$V$3928,MATCH(AJ260,'[2]Cross-Section Database'!$B$2:$B$3928,0),4)</f>
        <v>300</v>
      </c>
      <c r="AM260" s="16">
        <f>INDEX('[2]Cross-Section Database'!$C$2:$V$3928,MATCH(AJ260,'[2]Cross-Section Database'!$B$2:$B$3928,0),6)</f>
        <v>17.5</v>
      </c>
      <c r="AN260" s="16">
        <f>INDEX('[2]Cross-Section Database'!$C$2:$V$3928,MATCH(AJ260,'[2]Cross-Section Database'!$B$2:$B$3928,0),5)</f>
        <v>10</v>
      </c>
      <c r="AO260" s="16">
        <v>1615</v>
      </c>
      <c r="AP260" s="16">
        <f>INDEX('[2]Cross-Section Database'!$C$2:$V$3928,MATCH(AJ260,'[2]Cross-Section Database'!$B$2:$B$3928,0),11)</f>
        <v>330900000</v>
      </c>
      <c r="AQ260" s="26">
        <f>INDEX('[2]Cross-Section Database'!$C$2:$V$3928,MATCH(AJ260,'[2]Cross-Section Database'!$B$2:$B$3928,0),12)</f>
        <v>2088000</v>
      </c>
      <c r="AR260" s="101">
        <v>10</v>
      </c>
      <c r="AS260" s="16">
        <v>300</v>
      </c>
      <c r="AT260" s="16">
        <v>330</v>
      </c>
      <c r="AU260" s="16">
        <v>0</v>
      </c>
      <c r="AV260" s="26">
        <v>0</v>
      </c>
      <c r="AW260" s="309" t="s">
        <v>5806</v>
      </c>
      <c r="AX260" s="309" t="s">
        <v>6139</v>
      </c>
      <c r="AY260" s="16">
        <f>210/AZ260/0.25</f>
        <v>42</v>
      </c>
      <c r="AZ260" s="309">
        <v>20</v>
      </c>
      <c r="BA260" s="309">
        <f>IF(AZ260=24,353,IF(AZ260=22,303,IF(AZ260=20,245,IF(AZ260=16,157,0))))</f>
        <v>245</v>
      </c>
      <c r="BB260" s="16">
        <v>70</v>
      </c>
      <c r="BC260" s="16">
        <v>110</v>
      </c>
      <c r="BD260" s="16">
        <v>0</v>
      </c>
      <c r="BE260" s="31">
        <v>120</v>
      </c>
      <c r="BF260" s="16">
        <v>150</v>
      </c>
      <c r="BG260" s="22" t="s">
        <v>6318</v>
      </c>
      <c r="BH260" s="309" t="s">
        <v>6204</v>
      </c>
      <c r="BI260" s="309" t="s">
        <v>6204</v>
      </c>
      <c r="BJ260" s="309">
        <v>2</v>
      </c>
      <c r="BK260" s="309">
        <v>4</v>
      </c>
      <c r="BL260" s="194" t="s">
        <v>5791</v>
      </c>
      <c r="BM260" s="195" t="s">
        <v>5791</v>
      </c>
      <c r="BN260" s="195" t="s">
        <v>5791</v>
      </c>
      <c r="BO260" s="195" t="s">
        <v>5791</v>
      </c>
      <c r="BP260" s="195" t="s">
        <v>5791</v>
      </c>
      <c r="BQ260" s="195" t="s">
        <v>5791</v>
      </c>
      <c r="BR260" s="195" t="s">
        <v>5791</v>
      </c>
      <c r="BS260" s="195" t="s">
        <v>5791</v>
      </c>
      <c r="BT260" s="194" t="s">
        <v>5791</v>
      </c>
      <c r="BU260" s="195" t="s">
        <v>5791</v>
      </c>
      <c r="BV260" s="195" t="s">
        <v>5791</v>
      </c>
      <c r="BW260" s="195" t="s">
        <v>5791</v>
      </c>
      <c r="BX260" s="195" t="s">
        <v>5791</v>
      </c>
      <c r="BY260" s="195" t="s">
        <v>5791</v>
      </c>
      <c r="BZ260" s="213" t="s">
        <v>5791</v>
      </c>
      <c r="CA260" s="195" t="s">
        <v>5791</v>
      </c>
      <c r="CB260" s="195" t="s">
        <v>5791</v>
      </c>
      <c r="CC260" s="195" t="s">
        <v>5791</v>
      </c>
      <c r="CD260" s="195" t="s">
        <v>5791</v>
      </c>
      <c r="CE260" s="195" t="s">
        <v>5791</v>
      </c>
      <c r="CF260" s="213" t="s">
        <v>5791</v>
      </c>
      <c r="CG260" s="300" t="s">
        <v>4384</v>
      </c>
      <c r="CH260" s="309">
        <v>355</v>
      </c>
      <c r="CI260" s="31">
        <f t="shared" ref="CI260:CI262" si="136">CH260*1.1</f>
        <v>390.50000000000006</v>
      </c>
      <c r="CJ260" s="64">
        <v>470</v>
      </c>
      <c r="CK260" s="31">
        <f t="shared" ref="CK260:CK262" si="137">CJ260*1.1</f>
        <v>517</v>
      </c>
      <c r="CL260" s="65">
        <v>200000</v>
      </c>
      <c r="CM260" s="300" t="s">
        <v>4384</v>
      </c>
      <c r="CN260" s="309">
        <v>355</v>
      </c>
      <c r="CO260" s="31">
        <f t="shared" ref="CO260:CO262" si="138">CN260*1.1</f>
        <v>390.50000000000006</v>
      </c>
      <c r="CP260" s="64">
        <v>470</v>
      </c>
      <c r="CQ260" s="31">
        <f t="shared" ref="CQ260:CQ262" si="139">CP260*1.1</f>
        <v>517</v>
      </c>
      <c r="CR260" s="65">
        <v>200000</v>
      </c>
      <c r="CS260" s="300" t="s">
        <v>4384</v>
      </c>
      <c r="CT260" s="309">
        <v>355</v>
      </c>
      <c r="CU260" s="31">
        <f t="shared" ref="CU260:CU262" si="140">CT260*1.1</f>
        <v>390.50000000000006</v>
      </c>
      <c r="CV260" s="64">
        <v>470</v>
      </c>
      <c r="CW260" s="31">
        <f t="shared" ref="CW260:CW262" si="141">CV260*1.1</f>
        <v>517</v>
      </c>
      <c r="CX260" s="65">
        <v>200000</v>
      </c>
      <c r="CY260" s="198" t="s">
        <v>5791</v>
      </c>
      <c r="CZ260" s="199" t="s">
        <v>5791</v>
      </c>
      <c r="DA260" s="199" t="s">
        <v>5791</v>
      </c>
      <c r="DB260" s="200" t="s">
        <v>5791</v>
      </c>
      <c r="DC260" s="198" t="s">
        <v>5791</v>
      </c>
      <c r="DD260" s="199" t="s">
        <v>5791</v>
      </c>
      <c r="DE260" s="200" t="s">
        <v>5791</v>
      </c>
      <c r="DF260" s="273" t="s">
        <v>5791</v>
      </c>
      <c r="DG260" s="309">
        <v>8.8000000000000007</v>
      </c>
      <c r="DH260" s="309">
        <v>640</v>
      </c>
      <c r="DI260" s="30">
        <v>730</v>
      </c>
      <c r="DJ260" s="309">
        <v>800</v>
      </c>
      <c r="DK260" s="30">
        <v>940</v>
      </c>
      <c r="DL260" s="65">
        <v>200000</v>
      </c>
      <c r="DM260" s="28" t="s">
        <v>5834</v>
      </c>
      <c r="DN260" s="309" t="s">
        <v>4435</v>
      </c>
      <c r="DO260" s="305" t="s">
        <v>4565</v>
      </c>
    </row>
    <row r="261" spans="1:119">
      <c r="A261" s="301">
        <v>256</v>
      </c>
      <c r="B261" s="349"/>
      <c r="C261" s="349"/>
      <c r="D261" s="349"/>
      <c r="E261" s="349"/>
      <c r="F261" s="349"/>
      <c r="G261" s="349"/>
      <c r="H261" s="349"/>
      <c r="I261" s="349"/>
      <c r="J261" s="286" t="s">
        <v>6136</v>
      </c>
      <c r="K261" s="301" t="s">
        <v>4534</v>
      </c>
      <c r="L261" s="18" t="s">
        <v>6140</v>
      </c>
      <c r="M261" s="301" t="s">
        <v>4507</v>
      </c>
      <c r="N261" s="310" t="s">
        <v>6138</v>
      </c>
      <c r="O261" s="18" t="s">
        <v>4506</v>
      </c>
      <c r="P261" s="310" t="s">
        <v>4420</v>
      </c>
      <c r="Q261" s="310" t="s">
        <v>4420</v>
      </c>
      <c r="R261" s="310" t="s">
        <v>6165</v>
      </c>
      <c r="S261" s="32">
        <v>25</v>
      </c>
      <c r="T261" s="59" t="s">
        <v>4420</v>
      </c>
      <c r="U261" s="59" t="s">
        <v>5791</v>
      </c>
      <c r="V261" s="59" t="s">
        <v>4420</v>
      </c>
      <c r="W261" s="59" t="s">
        <v>5791</v>
      </c>
      <c r="X261" s="310" t="s">
        <v>4420</v>
      </c>
      <c r="Y261" s="310" t="s">
        <v>5791</v>
      </c>
      <c r="Z261" s="310" t="s">
        <v>4558</v>
      </c>
      <c r="AA261" s="18">
        <v>10</v>
      </c>
      <c r="AB261" s="223">
        <v>0</v>
      </c>
      <c r="AC261" s="18">
        <v>0</v>
      </c>
      <c r="AD261" s="310" t="s">
        <v>3982</v>
      </c>
      <c r="AE261" s="21">
        <f>INDEX('[2]Cross-Section Database'!$C$2:$V$2928,MATCH(AD261,'[2]Cross-Section Database'!$B$2:$B$2928,0),3)</f>
        <v>230</v>
      </c>
      <c r="AF261" s="21">
        <f>INDEX('[2]Cross-Section Database'!$C$2:$V$2928,MATCH(AD261,'[2]Cross-Section Database'!$B$2:$B$2928,0),4)</f>
        <v>240</v>
      </c>
      <c r="AG261" s="21">
        <f>INDEX('[2]Cross-Section Database'!$C$2:$V$2928,MATCH(AD261,'[2]Cross-Section Database'!$B$2:$B$2928,0),6)</f>
        <v>12</v>
      </c>
      <c r="AH261" s="21">
        <f>INDEX('[2]Cross-Section Database'!$C$2:$V$2928,MATCH(AD261,'[2]Cross-Section Database'!$B$2:$B$2928,0),5)</f>
        <v>7.5</v>
      </c>
      <c r="AI261" s="33">
        <v>1300</v>
      </c>
      <c r="AJ261" s="301" t="s">
        <v>4011</v>
      </c>
      <c r="AK261" s="21">
        <f>INDEX('[2]Cross-Section Database'!$C$2:$V$3928,MATCH(AJ261,'[2]Cross-Section Database'!$B$2:$B$3928,0),3)</f>
        <v>350</v>
      </c>
      <c r="AL261" s="21">
        <f>INDEX('[2]Cross-Section Database'!$C$2:$V$3928,MATCH(AJ261,'[2]Cross-Section Database'!$B$2:$B$3928,0),4)</f>
        <v>300</v>
      </c>
      <c r="AM261" s="21">
        <f>INDEX('[2]Cross-Section Database'!$C$2:$V$3928,MATCH(AJ261,'[2]Cross-Section Database'!$B$2:$B$3928,0),6)</f>
        <v>17.5</v>
      </c>
      <c r="AN261" s="21">
        <f>INDEX('[2]Cross-Section Database'!$C$2:$V$3928,MATCH(AJ261,'[2]Cross-Section Database'!$B$2:$B$3928,0),5)</f>
        <v>10</v>
      </c>
      <c r="AO261" s="21">
        <v>1615</v>
      </c>
      <c r="AP261" s="21">
        <f>INDEX('[2]Cross-Section Database'!$C$2:$V$3928,MATCH(AJ261,'[2]Cross-Section Database'!$B$2:$B$3928,0),11)</f>
        <v>330900000</v>
      </c>
      <c r="AQ261" s="24">
        <f>INDEX('[2]Cross-Section Database'!$C$2:$V$3928,MATCH(AJ261,'[2]Cross-Section Database'!$B$2:$B$3928,0),12)</f>
        <v>2088000</v>
      </c>
      <c r="AR261" s="102">
        <v>10</v>
      </c>
      <c r="AS261" s="21">
        <v>300</v>
      </c>
      <c r="AT261" s="21">
        <v>330</v>
      </c>
      <c r="AU261" s="21">
        <v>0</v>
      </c>
      <c r="AV261" s="24">
        <v>0</v>
      </c>
      <c r="AW261" s="310" t="s">
        <v>5806</v>
      </c>
      <c r="AX261" s="310" t="s">
        <v>6139</v>
      </c>
      <c r="AY261" s="310">
        <f>210/AZ261/0.25</f>
        <v>42</v>
      </c>
      <c r="AZ261" s="310">
        <v>20</v>
      </c>
      <c r="BA261" s="310">
        <f>IF(AZ261=24,353,IF(AZ261=22,303,IF(AZ261=20,245,IF(AZ261=16,157,0))))</f>
        <v>245</v>
      </c>
      <c r="BB261" s="21">
        <v>70</v>
      </c>
      <c r="BC261" s="21">
        <v>140</v>
      </c>
      <c r="BD261" s="21">
        <v>0</v>
      </c>
      <c r="BE261" s="33">
        <v>120</v>
      </c>
      <c r="BF261" s="21">
        <v>120</v>
      </c>
      <c r="BG261" s="15" t="s">
        <v>6318</v>
      </c>
      <c r="BH261" s="310" t="s">
        <v>6204</v>
      </c>
      <c r="BI261" s="310" t="s">
        <v>6204</v>
      </c>
      <c r="BJ261" s="310">
        <v>2</v>
      </c>
      <c r="BK261" s="310">
        <v>4</v>
      </c>
      <c r="BL261" s="196" t="s">
        <v>5791</v>
      </c>
      <c r="BM261" s="197" t="s">
        <v>5791</v>
      </c>
      <c r="BN261" s="197" t="s">
        <v>5791</v>
      </c>
      <c r="BO261" s="197" t="s">
        <v>5791</v>
      </c>
      <c r="BP261" s="197" t="s">
        <v>5791</v>
      </c>
      <c r="BQ261" s="197" t="s">
        <v>5791</v>
      </c>
      <c r="BR261" s="197" t="s">
        <v>5791</v>
      </c>
      <c r="BS261" s="197" t="s">
        <v>5791</v>
      </c>
      <c r="BT261" s="196" t="s">
        <v>5791</v>
      </c>
      <c r="BU261" s="197" t="s">
        <v>5791</v>
      </c>
      <c r="BV261" s="197" t="s">
        <v>5791</v>
      </c>
      <c r="BW261" s="197" t="s">
        <v>5791</v>
      </c>
      <c r="BX261" s="197" t="s">
        <v>5791</v>
      </c>
      <c r="BY261" s="197" t="s">
        <v>5791</v>
      </c>
      <c r="BZ261" s="212" t="s">
        <v>5791</v>
      </c>
      <c r="CA261" s="197" t="s">
        <v>5791</v>
      </c>
      <c r="CB261" s="197" t="s">
        <v>5791</v>
      </c>
      <c r="CC261" s="197" t="s">
        <v>5791</v>
      </c>
      <c r="CD261" s="197" t="s">
        <v>5791</v>
      </c>
      <c r="CE261" s="197" t="s">
        <v>5791</v>
      </c>
      <c r="CF261" s="212" t="s">
        <v>5791</v>
      </c>
      <c r="CG261" s="301" t="s">
        <v>4384</v>
      </c>
      <c r="CH261" s="310">
        <v>355</v>
      </c>
      <c r="CI261" s="33">
        <f t="shared" si="136"/>
        <v>390.50000000000006</v>
      </c>
      <c r="CJ261" s="59">
        <v>470</v>
      </c>
      <c r="CK261" s="33">
        <f t="shared" si="137"/>
        <v>517</v>
      </c>
      <c r="CL261" s="66">
        <v>200000</v>
      </c>
      <c r="CM261" s="301" t="s">
        <v>4384</v>
      </c>
      <c r="CN261" s="310">
        <v>355</v>
      </c>
      <c r="CO261" s="33">
        <f t="shared" si="138"/>
        <v>390.50000000000006</v>
      </c>
      <c r="CP261" s="59">
        <v>470</v>
      </c>
      <c r="CQ261" s="33">
        <f t="shared" si="139"/>
        <v>517</v>
      </c>
      <c r="CR261" s="66">
        <v>200000</v>
      </c>
      <c r="CS261" s="301" t="s">
        <v>4384</v>
      </c>
      <c r="CT261" s="310">
        <v>355</v>
      </c>
      <c r="CU261" s="33">
        <f t="shared" si="140"/>
        <v>390.50000000000006</v>
      </c>
      <c r="CV261" s="59">
        <v>470</v>
      </c>
      <c r="CW261" s="33">
        <f t="shared" si="141"/>
        <v>517</v>
      </c>
      <c r="CX261" s="66">
        <v>200000</v>
      </c>
      <c r="CY261" s="201" t="s">
        <v>5791</v>
      </c>
      <c r="CZ261" s="202" t="s">
        <v>5791</v>
      </c>
      <c r="DA261" s="202" t="s">
        <v>5791</v>
      </c>
      <c r="DB261" s="203" t="s">
        <v>5791</v>
      </c>
      <c r="DC261" s="201" t="s">
        <v>5791</v>
      </c>
      <c r="DD261" s="202" t="s">
        <v>5791</v>
      </c>
      <c r="DE261" s="203" t="s">
        <v>5791</v>
      </c>
      <c r="DF261" s="274" t="s">
        <v>5791</v>
      </c>
      <c r="DG261" s="310">
        <v>8.8000000000000007</v>
      </c>
      <c r="DH261" s="310">
        <v>640</v>
      </c>
      <c r="DI261" s="32">
        <v>730</v>
      </c>
      <c r="DJ261" s="310">
        <v>800</v>
      </c>
      <c r="DK261" s="32">
        <v>940</v>
      </c>
      <c r="DL261" s="66">
        <v>200000</v>
      </c>
      <c r="DM261" s="29" t="s">
        <v>6143</v>
      </c>
      <c r="DN261" s="310" t="s">
        <v>4435</v>
      </c>
      <c r="DO261" s="306" t="s">
        <v>4565</v>
      </c>
    </row>
    <row r="262" spans="1:119" ht="15.6" customHeight="1" thickBot="1">
      <c r="A262" s="308">
        <v>257</v>
      </c>
      <c r="B262" s="350"/>
      <c r="C262" s="350"/>
      <c r="D262" s="350"/>
      <c r="E262" s="350"/>
      <c r="F262" s="350"/>
      <c r="G262" s="350"/>
      <c r="H262" s="350"/>
      <c r="I262" s="350"/>
      <c r="J262" s="285" t="s">
        <v>6137</v>
      </c>
      <c r="K262" s="308" t="s">
        <v>4534</v>
      </c>
      <c r="L262" s="14" t="s">
        <v>6140</v>
      </c>
      <c r="M262" s="308" t="s">
        <v>4507</v>
      </c>
      <c r="N262" s="311" t="s">
        <v>6138</v>
      </c>
      <c r="O262" s="14" t="s">
        <v>4506</v>
      </c>
      <c r="P262" s="311" t="s">
        <v>4420</v>
      </c>
      <c r="Q262" s="311" t="s">
        <v>4420</v>
      </c>
      <c r="R262" s="311" t="s">
        <v>6165</v>
      </c>
      <c r="S262" s="34">
        <v>25</v>
      </c>
      <c r="T262" s="86" t="s">
        <v>4420</v>
      </c>
      <c r="U262" s="86" t="s">
        <v>5791</v>
      </c>
      <c r="V262" s="86" t="s">
        <v>4420</v>
      </c>
      <c r="W262" s="86" t="s">
        <v>5791</v>
      </c>
      <c r="X262" s="311" t="s">
        <v>4420</v>
      </c>
      <c r="Y262" s="311" t="s">
        <v>5791</v>
      </c>
      <c r="Z262" s="311" t="s">
        <v>4558</v>
      </c>
      <c r="AA262" s="14">
        <v>10</v>
      </c>
      <c r="AB262" s="228">
        <v>0</v>
      </c>
      <c r="AC262" s="14">
        <v>0</v>
      </c>
      <c r="AD262" s="311" t="s">
        <v>3982</v>
      </c>
      <c r="AE262" s="23">
        <f>INDEX('[2]Cross-Section Database'!$C$2:$V$2928,MATCH(AD262,'[2]Cross-Section Database'!$B$2:$B$2928,0),3)</f>
        <v>230</v>
      </c>
      <c r="AF262" s="23">
        <f>INDEX('[2]Cross-Section Database'!$C$2:$V$2928,MATCH(AD262,'[2]Cross-Section Database'!$B$2:$B$2928,0),4)</f>
        <v>240</v>
      </c>
      <c r="AG262" s="23">
        <f>INDEX('[2]Cross-Section Database'!$C$2:$V$2928,MATCH(AD262,'[2]Cross-Section Database'!$B$2:$B$2928,0),6)</f>
        <v>12</v>
      </c>
      <c r="AH262" s="23">
        <f>INDEX('[2]Cross-Section Database'!$C$2:$V$2928,MATCH(AD262,'[2]Cross-Section Database'!$B$2:$B$2928,0),5)</f>
        <v>7.5</v>
      </c>
      <c r="AI262" s="35">
        <v>1300</v>
      </c>
      <c r="AJ262" s="308" t="s">
        <v>4011</v>
      </c>
      <c r="AK262" s="23">
        <f>INDEX('[2]Cross-Section Database'!$C$2:$V$3928,MATCH(AJ262,'[2]Cross-Section Database'!$B$2:$B$3928,0),3)</f>
        <v>350</v>
      </c>
      <c r="AL262" s="23">
        <f>INDEX('[2]Cross-Section Database'!$C$2:$V$3928,MATCH(AJ262,'[2]Cross-Section Database'!$B$2:$B$3928,0),4)</f>
        <v>300</v>
      </c>
      <c r="AM262" s="23">
        <f>INDEX('[2]Cross-Section Database'!$C$2:$V$3928,MATCH(AJ262,'[2]Cross-Section Database'!$B$2:$B$3928,0),6)</f>
        <v>17.5</v>
      </c>
      <c r="AN262" s="23">
        <f>INDEX('[2]Cross-Section Database'!$C$2:$V$3928,MATCH(AJ262,'[2]Cross-Section Database'!$B$2:$B$3928,0),5)</f>
        <v>10</v>
      </c>
      <c r="AO262" s="23">
        <v>1615</v>
      </c>
      <c r="AP262" s="23">
        <f>INDEX('[2]Cross-Section Database'!$C$2:$V$3928,MATCH(AJ262,'[2]Cross-Section Database'!$B$2:$B$3928,0),11)</f>
        <v>330900000</v>
      </c>
      <c r="AQ262" s="25">
        <f>INDEX('[2]Cross-Section Database'!$C$2:$V$3928,MATCH(AJ262,'[2]Cross-Section Database'!$B$2:$B$3928,0),12)</f>
        <v>2088000</v>
      </c>
      <c r="AR262" s="103">
        <v>10</v>
      </c>
      <c r="AS262" s="23">
        <v>300</v>
      </c>
      <c r="AT262" s="23">
        <v>330</v>
      </c>
      <c r="AU262" s="23">
        <v>0</v>
      </c>
      <c r="AV262" s="25">
        <v>0</v>
      </c>
      <c r="AW262" s="311" t="s">
        <v>5806</v>
      </c>
      <c r="AX262" s="311" t="s">
        <v>6139</v>
      </c>
      <c r="AY262" s="311">
        <f>210/AZ262/0.25</f>
        <v>42</v>
      </c>
      <c r="AZ262" s="311">
        <v>20</v>
      </c>
      <c r="BA262" s="311">
        <f>IF(AZ262=24,353,IF(AZ262=22,303,IF(AZ262=20,245,IF(AZ262=16,157,0))))</f>
        <v>245</v>
      </c>
      <c r="BB262" s="23">
        <v>110</v>
      </c>
      <c r="BC262" s="23">
        <v>110</v>
      </c>
      <c r="BD262" s="23">
        <v>0</v>
      </c>
      <c r="BE262" s="35">
        <v>120</v>
      </c>
      <c r="BF262" s="23">
        <v>110</v>
      </c>
      <c r="BG262" s="19" t="s">
        <v>6318</v>
      </c>
      <c r="BH262" s="311" t="s">
        <v>6204</v>
      </c>
      <c r="BI262" s="311" t="s">
        <v>6204</v>
      </c>
      <c r="BJ262" s="311">
        <v>2</v>
      </c>
      <c r="BK262" s="311">
        <v>4</v>
      </c>
      <c r="BL262" s="191" t="s">
        <v>5791</v>
      </c>
      <c r="BM262" s="192" t="s">
        <v>5791</v>
      </c>
      <c r="BN262" s="192" t="s">
        <v>5791</v>
      </c>
      <c r="BO262" s="192" t="s">
        <v>5791</v>
      </c>
      <c r="BP262" s="192" t="s">
        <v>5791</v>
      </c>
      <c r="BQ262" s="192" t="s">
        <v>5791</v>
      </c>
      <c r="BR262" s="192" t="s">
        <v>5791</v>
      </c>
      <c r="BS262" s="192" t="s">
        <v>5791</v>
      </c>
      <c r="BT262" s="191" t="s">
        <v>5791</v>
      </c>
      <c r="BU262" s="192" t="s">
        <v>5791</v>
      </c>
      <c r="BV262" s="192" t="s">
        <v>5791</v>
      </c>
      <c r="BW262" s="192" t="s">
        <v>5791</v>
      </c>
      <c r="BX262" s="192" t="s">
        <v>5791</v>
      </c>
      <c r="BY262" s="192" t="s">
        <v>5791</v>
      </c>
      <c r="BZ262" s="214" t="s">
        <v>5791</v>
      </c>
      <c r="CA262" s="192" t="s">
        <v>5791</v>
      </c>
      <c r="CB262" s="192" t="s">
        <v>5791</v>
      </c>
      <c r="CC262" s="192" t="s">
        <v>5791</v>
      </c>
      <c r="CD262" s="192" t="s">
        <v>5791</v>
      </c>
      <c r="CE262" s="192" t="s">
        <v>5791</v>
      </c>
      <c r="CF262" s="214" t="s">
        <v>5791</v>
      </c>
      <c r="CG262" s="308" t="s">
        <v>4384</v>
      </c>
      <c r="CH262" s="311">
        <v>355</v>
      </c>
      <c r="CI262" s="35">
        <f t="shared" si="136"/>
        <v>390.50000000000006</v>
      </c>
      <c r="CJ262" s="86">
        <v>470</v>
      </c>
      <c r="CK262" s="35">
        <f t="shared" si="137"/>
        <v>517</v>
      </c>
      <c r="CL262" s="69">
        <v>200000</v>
      </c>
      <c r="CM262" s="308" t="s">
        <v>4384</v>
      </c>
      <c r="CN262" s="311">
        <v>355</v>
      </c>
      <c r="CO262" s="35">
        <f t="shared" si="138"/>
        <v>390.50000000000006</v>
      </c>
      <c r="CP262" s="86">
        <v>470</v>
      </c>
      <c r="CQ262" s="35">
        <f t="shared" si="139"/>
        <v>517</v>
      </c>
      <c r="CR262" s="69">
        <v>200000</v>
      </c>
      <c r="CS262" s="308" t="s">
        <v>4384</v>
      </c>
      <c r="CT262" s="311">
        <v>355</v>
      </c>
      <c r="CU262" s="35">
        <f t="shared" si="140"/>
        <v>390.50000000000006</v>
      </c>
      <c r="CV262" s="86">
        <v>470</v>
      </c>
      <c r="CW262" s="35">
        <f t="shared" si="141"/>
        <v>517</v>
      </c>
      <c r="CX262" s="69">
        <v>200000</v>
      </c>
      <c r="CY262" s="204" t="s">
        <v>5791</v>
      </c>
      <c r="CZ262" s="205" t="s">
        <v>5791</v>
      </c>
      <c r="DA262" s="205" t="s">
        <v>5791</v>
      </c>
      <c r="DB262" s="206" t="s">
        <v>5791</v>
      </c>
      <c r="DC262" s="204" t="s">
        <v>5791</v>
      </c>
      <c r="DD262" s="205" t="s">
        <v>5791</v>
      </c>
      <c r="DE262" s="206" t="s">
        <v>5791</v>
      </c>
      <c r="DF262" s="275" t="s">
        <v>5791</v>
      </c>
      <c r="DG262" s="311">
        <v>8.8000000000000007</v>
      </c>
      <c r="DH262" s="311">
        <v>640</v>
      </c>
      <c r="DI262" s="34">
        <v>730</v>
      </c>
      <c r="DJ262" s="311">
        <v>800</v>
      </c>
      <c r="DK262" s="34">
        <v>940</v>
      </c>
      <c r="DL262" s="69">
        <v>200000</v>
      </c>
      <c r="DM262" s="27" t="s">
        <v>6141</v>
      </c>
      <c r="DN262" s="308" t="s">
        <v>4435</v>
      </c>
      <c r="DO262" s="307" t="s">
        <v>4565</v>
      </c>
    </row>
    <row r="263" spans="1:119" ht="15.6" customHeight="1">
      <c r="A263" s="300">
        <v>258</v>
      </c>
      <c r="B263" s="348">
        <v>36</v>
      </c>
      <c r="C263" s="348">
        <v>2004</v>
      </c>
      <c r="D263" s="348" t="s">
        <v>4753</v>
      </c>
      <c r="E263" s="348" t="s">
        <v>4850</v>
      </c>
      <c r="F263" s="348">
        <v>8</v>
      </c>
      <c r="G263" s="348" t="s">
        <v>5923</v>
      </c>
      <c r="H263" s="348" t="s">
        <v>5918</v>
      </c>
      <c r="I263" s="348" t="s">
        <v>4741</v>
      </c>
      <c r="J263" s="284" t="s">
        <v>4718</v>
      </c>
      <c r="K263" s="300" t="s">
        <v>4383</v>
      </c>
      <c r="L263" s="309" t="s">
        <v>5791</v>
      </c>
      <c r="M263" s="300" t="s">
        <v>4508</v>
      </c>
      <c r="N263" s="309" t="s">
        <v>4702</v>
      </c>
      <c r="O263" s="17" t="s">
        <v>4506</v>
      </c>
      <c r="P263" s="309" t="s">
        <v>4420</v>
      </c>
      <c r="Q263" s="309" t="s">
        <v>4420</v>
      </c>
      <c r="R263" s="309" t="s">
        <v>4420</v>
      </c>
      <c r="S263" s="309" t="s">
        <v>5791</v>
      </c>
      <c r="T263" s="64" t="s">
        <v>4420</v>
      </c>
      <c r="U263" s="64" t="s">
        <v>5791</v>
      </c>
      <c r="V263" s="64" t="s">
        <v>4420</v>
      </c>
      <c r="W263" s="64" t="s">
        <v>5791</v>
      </c>
      <c r="X263" s="309" t="s">
        <v>4420</v>
      </c>
      <c r="Y263" s="309" t="s">
        <v>5791</v>
      </c>
      <c r="Z263" s="30" t="s">
        <v>4558</v>
      </c>
      <c r="AA263" s="87">
        <v>8</v>
      </c>
      <c r="AB263" s="229">
        <v>0</v>
      </c>
      <c r="AC263" s="17">
        <v>0</v>
      </c>
      <c r="AD263" s="300" t="s">
        <v>3983</v>
      </c>
      <c r="AE263" s="16">
        <f>INDEX('[2]Cross-Section Database'!$C$2:$V$2928,MATCH(AD263,'[2]Cross-Section Database'!$B$2:$B$2928,0),3)</f>
        <v>240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17</v>
      </c>
      <c r="AH263" s="44">
        <f>INDEX('[2]Cross-Section Database'!$C$2:$V$2928,MATCH(AD263,'[2]Cross-Section Database'!$B$2:$B$2928,0),5)</f>
        <v>10</v>
      </c>
      <c r="AI263" s="31">
        <v>2750</v>
      </c>
      <c r="AJ263" s="300" t="s">
        <v>3907</v>
      </c>
      <c r="AK263" s="16">
        <f>INDEX('[2]Cross-Section Database'!$C$2:$V$2928,MATCH(AJ263,'[2]Cross-Section Database'!$B$2:$B$2928,0),3)</f>
        <v>240</v>
      </c>
      <c r="AL263" s="16">
        <f>INDEX('[2]Cross-Section Database'!$C$2:$V$2928,MATCH(AJ263,'[2]Cross-Section Database'!$B$2:$B$2928,0),4)</f>
        <v>120</v>
      </c>
      <c r="AM263" s="16">
        <f>INDEX('[2]Cross-Section Database'!$C$2:$V$2928,MATCH(AJ263,'[2]Cross-Section Database'!$B$2:$B$2928,0),6)</f>
        <v>9.8000000000000007</v>
      </c>
      <c r="AN263" s="16">
        <f>INDEX('[2]Cross-Section Database'!$C$2:$V$2928,MATCH(AJ263,'[2]Cross-Section Database'!$B$2:$B$2928,0),5)</f>
        <v>6.2</v>
      </c>
      <c r="AO263" s="16">
        <v>1000</v>
      </c>
      <c r="AP263" s="16">
        <f>INDEX('[2]Cross-Section Database'!$C$2:$V$3928,MATCH(AJ263,'[2]Cross-Section Database'!$B$2:$B$3928,0),11)</f>
        <v>38920000</v>
      </c>
      <c r="AQ263" s="26">
        <f>INDEX('[2]Cross-Section Database'!$C$2:$V$3928,MATCH(AJ263,'[2]Cross-Section Database'!$B$2:$B$3928,0),12)</f>
        <v>367000</v>
      </c>
      <c r="AR263" s="16">
        <v>15</v>
      </c>
      <c r="AS263" s="16">
        <v>160</v>
      </c>
      <c r="AT263" s="16">
        <v>264</v>
      </c>
      <c r="AU263" s="16">
        <f t="shared" ref="AU263:AU270" si="142">(AT263-AK263)-AV263</f>
        <v>12</v>
      </c>
      <c r="AV263" s="16">
        <f t="shared" si="122"/>
        <v>12</v>
      </c>
      <c r="AW263" s="300" t="s">
        <v>5806</v>
      </c>
      <c r="AX263" s="309" t="s">
        <v>4612</v>
      </c>
      <c r="AY263" s="16">
        <f>150/AZ263/0.25</f>
        <v>30</v>
      </c>
      <c r="AZ263" s="309">
        <v>20</v>
      </c>
      <c r="BA263" s="309">
        <f t="shared" si="135"/>
        <v>245</v>
      </c>
      <c r="BB263" s="16">
        <v>54</v>
      </c>
      <c r="BC263" s="16">
        <v>54</v>
      </c>
      <c r="BD263" s="16">
        <v>0</v>
      </c>
      <c r="BE263" s="16">
        <v>96</v>
      </c>
      <c r="BF263" s="16">
        <v>156</v>
      </c>
      <c r="BG263" s="22" t="s">
        <v>4470</v>
      </c>
      <c r="BH263" s="309" t="s">
        <v>6204</v>
      </c>
      <c r="BI263" s="309" t="s">
        <v>6204</v>
      </c>
      <c r="BJ263" s="309">
        <v>2</v>
      </c>
      <c r="BK263" s="17">
        <v>4</v>
      </c>
      <c r="BL263" s="194" t="s">
        <v>5791</v>
      </c>
      <c r="BM263" s="195" t="s">
        <v>5791</v>
      </c>
      <c r="BN263" s="195" t="s">
        <v>5791</v>
      </c>
      <c r="BO263" s="195" t="s">
        <v>5791</v>
      </c>
      <c r="BP263" s="195" t="s">
        <v>5791</v>
      </c>
      <c r="BQ263" s="195" t="s">
        <v>5791</v>
      </c>
      <c r="BR263" s="195" t="s">
        <v>5791</v>
      </c>
      <c r="BS263" s="195" t="s">
        <v>5791</v>
      </c>
      <c r="BT263" s="194" t="s">
        <v>5791</v>
      </c>
      <c r="BU263" s="195" t="s">
        <v>5791</v>
      </c>
      <c r="BV263" s="195" t="s">
        <v>5791</v>
      </c>
      <c r="BW263" s="195" t="s">
        <v>5791</v>
      </c>
      <c r="BX263" s="195" t="s">
        <v>5791</v>
      </c>
      <c r="BY263" s="195" t="s">
        <v>5791</v>
      </c>
      <c r="BZ263" s="213" t="s">
        <v>5791</v>
      </c>
      <c r="CA263" s="195" t="s">
        <v>5791</v>
      </c>
      <c r="CB263" s="195" t="s">
        <v>5791</v>
      </c>
      <c r="CC263" s="195" t="s">
        <v>5791</v>
      </c>
      <c r="CD263" s="195" t="s">
        <v>5791</v>
      </c>
      <c r="CE263" s="195" t="s">
        <v>5791</v>
      </c>
      <c r="CF263" s="213" t="s">
        <v>5791</v>
      </c>
      <c r="CG263" s="300" t="s">
        <v>4450</v>
      </c>
      <c r="CH263" s="309">
        <v>275</v>
      </c>
      <c r="CI263" s="16">
        <f>(372.02+342.95)/2</f>
        <v>357.48500000000001</v>
      </c>
      <c r="CJ263" s="309">
        <v>410</v>
      </c>
      <c r="CK263" s="16">
        <f>(477.29+448.79)/2</f>
        <v>463.04</v>
      </c>
      <c r="CL263" s="80">
        <f>(206936+220792)/2</f>
        <v>213864</v>
      </c>
      <c r="CM263" s="309" t="s">
        <v>4450</v>
      </c>
      <c r="CN263" s="309">
        <v>275</v>
      </c>
      <c r="CO263" s="16">
        <f>(363.4+340.14)/2</f>
        <v>351.77</v>
      </c>
      <c r="CP263" s="16">
        <v>410</v>
      </c>
      <c r="CQ263" s="16">
        <f>(454.3+448.23)/2</f>
        <v>451.26499999999999</v>
      </c>
      <c r="CR263" s="80">
        <f>(203713+215222)/2</f>
        <v>209467.5</v>
      </c>
      <c r="CS263" s="309" t="s">
        <v>4450</v>
      </c>
      <c r="CT263" s="309">
        <v>275</v>
      </c>
      <c r="CU263" s="16">
        <v>369.44</v>
      </c>
      <c r="CV263" s="16">
        <v>410</v>
      </c>
      <c r="CW263" s="16">
        <v>503.45</v>
      </c>
      <c r="CX263" s="80">
        <v>200248</v>
      </c>
      <c r="CY263" s="198" t="s">
        <v>5791</v>
      </c>
      <c r="CZ263" s="199" t="s">
        <v>5791</v>
      </c>
      <c r="DA263" s="199" t="s">
        <v>5791</v>
      </c>
      <c r="DB263" s="200" t="s">
        <v>5791</v>
      </c>
      <c r="DC263" s="199" t="s">
        <v>5791</v>
      </c>
      <c r="DD263" s="199" t="s">
        <v>5791</v>
      </c>
      <c r="DE263" s="200" t="s">
        <v>5791</v>
      </c>
      <c r="DF263" s="273" t="s">
        <v>5791</v>
      </c>
      <c r="DG263" s="309">
        <v>10.9</v>
      </c>
      <c r="DH263" s="309">
        <v>900</v>
      </c>
      <c r="DI263" s="30">
        <v>990</v>
      </c>
      <c r="DJ263" s="309">
        <v>1000</v>
      </c>
      <c r="DK263" s="30">
        <v>1100</v>
      </c>
      <c r="DL263" s="75">
        <v>200000</v>
      </c>
      <c r="DM263" s="127" t="s">
        <v>5848</v>
      </c>
      <c r="DN263" s="30" t="s">
        <v>4435</v>
      </c>
      <c r="DO263" s="305" t="s">
        <v>4565</v>
      </c>
    </row>
    <row r="264" spans="1:119">
      <c r="A264" s="301">
        <v>259</v>
      </c>
      <c r="B264" s="349"/>
      <c r="C264" s="349"/>
      <c r="D264" s="349"/>
      <c r="E264" s="349"/>
      <c r="F264" s="349"/>
      <c r="G264" s="349"/>
      <c r="H264" s="349"/>
      <c r="I264" s="349"/>
      <c r="J264" s="286" t="s">
        <v>4719</v>
      </c>
      <c r="K264" s="301" t="s">
        <v>4383</v>
      </c>
      <c r="L264" s="310" t="s">
        <v>5791</v>
      </c>
      <c r="M264" s="301" t="s">
        <v>4508</v>
      </c>
      <c r="N264" s="310" t="s">
        <v>4702</v>
      </c>
      <c r="O264" s="18" t="s">
        <v>4506</v>
      </c>
      <c r="P264" s="310" t="s">
        <v>4420</v>
      </c>
      <c r="Q264" s="310" t="s">
        <v>4420</v>
      </c>
      <c r="R264" s="310" t="s">
        <v>4420</v>
      </c>
      <c r="S264" s="310" t="s">
        <v>5791</v>
      </c>
      <c r="T264" s="59" t="s">
        <v>4420</v>
      </c>
      <c r="U264" s="59" t="s">
        <v>5791</v>
      </c>
      <c r="V264" s="59" t="s">
        <v>4420</v>
      </c>
      <c r="W264" s="59" t="s">
        <v>5791</v>
      </c>
      <c r="X264" s="310" t="s">
        <v>4420</v>
      </c>
      <c r="Y264" s="310" t="s">
        <v>5791</v>
      </c>
      <c r="Z264" s="32" t="s">
        <v>4558</v>
      </c>
      <c r="AA264" s="72">
        <v>8</v>
      </c>
      <c r="AB264" s="230">
        <v>52.7</v>
      </c>
      <c r="AC264" s="18">
        <v>0</v>
      </c>
      <c r="AD264" s="301" t="s">
        <v>3983</v>
      </c>
      <c r="AE264" s="310">
        <f>INDEX('[2]Cross-Section Database'!$C$2:$V$2928,MATCH(AD264,'[2]Cross-Section Database'!$B$2:$B$2928,0),3)</f>
        <v>240</v>
      </c>
      <c r="AF264" s="310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17</v>
      </c>
      <c r="AH264" s="21">
        <f>INDEX('[2]Cross-Section Database'!$C$2:$V$2928,MATCH(AD264,'[2]Cross-Section Database'!$B$2:$B$2928,0),5)</f>
        <v>10</v>
      </c>
      <c r="AI264" s="33">
        <v>2750</v>
      </c>
      <c r="AJ264" s="301" t="s">
        <v>3907</v>
      </c>
      <c r="AK264" s="21">
        <f>INDEX('[2]Cross-Section Database'!$C$2:$V$2928,MATCH(AJ264,'[2]Cross-Section Database'!$B$2:$B$2928,0),3)</f>
        <v>240</v>
      </c>
      <c r="AL264" s="21">
        <f>INDEX('[2]Cross-Section Database'!$C$2:$V$2928,MATCH(AJ264,'[2]Cross-Section Database'!$B$2:$B$2928,0),4)</f>
        <v>120</v>
      </c>
      <c r="AM264" s="21">
        <f>INDEX('[2]Cross-Section Database'!$C$2:$V$2928,MATCH(AJ264,'[2]Cross-Section Database'!$B$2:$B$2928,0),6)</f>
        <v>9.8000000000000007</v>
      </c>
      <c r="AN264" s="21">
        <f>INDEX('[2]Cross-Section Database'!$C$2:$V$2928,MATCH(AJ264,'[2]Cross-Section Database'!$B$2:$B$2928,0),5)</f>
        <v>6.2</v>
      </c>
      <c r="AO264" s="21">
        <v>1000</v>
      </c>
      <c r="AP264" s="21">
        <f>INDEX('[2]Cross-Section Database'!$C$2:$V$3928,MATCH(AJ264,'[2]Cross-Section Database'!$B$2:$B$3928,0),11)</f>
        <v>38920000</v>
      </c>
      <c r="AQ264" s="24">
        <f>INDEX('[2]Cross-Section Database'!$C$2:$V$3928,MATCH(AJ264,'[2]Cross-Section Database'!$B$2:$B$3928,0),12)</f>
        <v>367000</v>
      </c>
      <c r="AR264" s="21">
        <v>15</v>
      </c>
      <c r="AS264" s="21">
        <v>160</v>
      </c>
      <c r="AT264" s="21">
        <v>264</v>
      </c>
      <c r="AU264" s="21">
        <f t="shared" si="142"/>
        <v>12</v>
      </c>
      <c r="AV264" s="21">
        <f t="shared" si="122"/>
        <v>12</v>
      </c>
      <c r="AW264" s="301" t="s">
        <v>5806</v>
      </c>
      <c r="AX264" s="310" t="s">
        <v>4612</v>
      </c>
      <c r="AY264" s="21">
        <f t="shared" ref="AY264:AY270" si="143">150/AZ264/0.25</f>
        <v>30</v>
      </c>
      <c r="AZ264" s="310">
        <v>20</v>
      </c>
      <c r="BA264" s="310">
        <f t="shared" si="135"/>
        <v>245</v>
      </c>
      <c r="BB264" s="21">
        <v>54</v>
      </c>
      <c r="BC264" s="21">
        <v>54</v>
      </c>
      <c r="BD264" s="21">
        <v>0</v>
      </c>
      <c r="BE264" s="21">
        <v>96</v>
      </c>
      <c r="BF264" s="21">
        <v>156</v>
      </c>
      <c r="BG264" s="15" t="s">
        <v>4470</v>
      </c>
      <c r="BH264" s="310" t="s">
        <v>6204</v>
      </c>
      <c r="BI264" s="310" t="s">
        <v>6204</v>
      </c>
      <c r="BJ264" s="310">
        <v>2</v>
      </c>
      <c r="BK264" s="18">
        <v>4</v>
      </c>
      <c r="BL264" s="196" t="s">
        <v>5791</v>
      </c>
      <c r="BM264" s="197" t="s">
        <v>5791</v>
      </c>
      <c r="BN264" s="197" t="s">
        <v>5791</v>
      </c>
      <c r="BO264" s="197" t="s">
        <v>5791</v>
      </c>
      <c r="BP264" s="197" t="s">
        <v>5791</v>
      </c>
      <c r="BQ264" s="197" t="s">
        <v>5791</v>
      </c>
      <c r="BR264" s="197" t="s">
        <v>5791</v>
      </c>
      <c r="BS264" s="197" t="s">
        <v>5791</v>
      </c>
      <c r="BT264" s="196" t="s">
        <v>5791</v>
      </c>
      <c r="BU264" s="197" t="s">
        <v>5791</v>
      </c>
      <c r="BV264" s="197" t="s">
        <v>5791</v>
      </c>
      <c r="BW264" s="197" t="s">
        <v>5791</v>
      </c>
      <c r="BX264" s="197" t="s">
        <v>5791</v>
      </c>
      <c r="BY264" s="197" t="s">
        <v>5791</v>
      </c>
      <c r="BZ264" s="212" t="s">
        <v>5791</v>
      </c>
      <c r="CA264" s="197" t="s">
        <v>5791</v>
      </c>
      <c r="CB264" s="197" t="s">
        <v>5791</v>
      </c>
      <c r="CC264" s="197" t="s">
        <v>5791</v>
      </c>
      <c r="CD264" s="197" t="s">
        <v>5791</v>
      </c>
      <c r="CE264" s="197" t="s">
        <v>5791</v>
      </c>
      <c r="CF264" s="212" t="s">
        <v>5791</v>
      </c>
      <c r="CG264" s="301" t="s">
        <v>4450</v>
      </c>
      <c r="CH264" s="310">
        <v>275</v>
      </c>
      <c r="CI264" s="21">
        <f t="shared" ref="CI264:CI270" si="144">(372.02+342.95)/2</f>
        <v>357.48500000000001</v>
      </c>
      <c r="CJ264" s="310">
        <v>411</v>
      </c>
      <c r="CK264" s="21">
        <f t="shared" ref="CK264:CK270" si="145">(477.29+448.79)/2</f>
        <v>463.04</v>
      </c>
      <c r="CL264" s="68">
        <f t="shared" ref="CL264:CL270" si="146">(206936+220792)/2</f>
        <v>213864</v>
      </c>
      <c r="CM264" s="310" t="s">
        <v>4450</v>
      </c>
      <c r="CN264" s="310">
        <v>275</v>
      </c>
      <c r="CO264" s="21">
        <f t="shared" ref="CO264:CO270" si="147">(363.4+340.14)/2</f>
        <v>351.77</v>
      </c>
      <c r="CP264" s="21">
        <v>411</v>
      </c>
      <c r="CQ264" s="21">
        <f t="shared" ref="CQ264:CQ270" si="148">(454.3+448.23)/2</f>
        <v>451.26499999999999</v>
      </c>
      <c r="CR264" s="68">
        <f t="shared" ref="CR264:CR270" si="149">(203713+215222)/2</f>
        <v>209467.5</v>
      </c>
      <c r="CS264" s="310" t="s">
        <v>4450</v>
      </c>
      <c r="CT264" s="310">
        <v>275</v>
      </c>
      <c r="CU264" s="21">
        <v>369.44</v>
      </c>
      <c r="CV264" s="21">
        <v>410</v>
      </c>
      <c r="CW264" s="21">
        <v>503.45</v>
      </c>
      <c r="CX264" s="68">
        <v>200248</v>
      </c>
      <c r="CY264" s="201" t="s">
        <v>5791</v>
      </c>
      <c r="CZ264" s="202" t="s">
        <v>5791</v>
      </c>
      <c r="DA264" s="202" t="s">
        <v>5791</v>
      </c>
      <c r="DB264" s="203" t="s">
        <v>5791</v>
      </c>
      <c r="DC264" s="202" t="s">
        <v>5791</v>
      </c>
      <c r="DD264" s="202" t="s">
        <v>5791</v>
      </c>
      <c r="DE264" s="203" t="s">
        <v>5791</v>
      </c>
      <c r="DF264" s="274" t="s">
        <v>5791</v>
      </c>
      <c r="DG264" s="310">
        <v>10.9</v>
      </c>
      <c r="DH264" s="310">
        <v>900</v>
      </c>
      <c r="DI264" s="32">
        <v>990</v>
      </c>
      <c r="DJ264" s="310">
        <v>1000</v>
      </c>
      <c r="DK264" s="32">
        <v>1100</v>
      </c>
      <c r="DL264" s="60">
        <v>200000</v>
      </c>
      <c r="DM264" s="129" t="s">
        <v>5848</v>
      </c>
      <c r="DN264" s="32" t="s">
        <v>4435</v>
      </c>
      <c r="DO264" s="306" t="s">
        <v>4565</v>
      </c>
    </row>
    <row r="265" spans="1:119">
      <c r="A265" s="301">
        <v>260</v>
      </c>
      <c r="B265" s="349"/>
      <c r="C265" s="349"/>
      <c r="D265" s="349"/>
      <c r="E265" s="349"/>
      <c r="F265" s="349"/>
      <c r="G265" s="349"/>
      <c r="H265" s="349"/>
      <c r="I265" s="349"/>
      <c r="J265" s="286" t="s">
        <v>4720</v>
      </c>
      <c r="K265" s="301" t="s">
        <v>4383</v>
      </c>
      <c r="L265" s="310" t="s">
        <v>5791</v>
      </c>
      <c r="M265" s="301" t="s">
        <v>4508</v>
      </c>
      <c r="N265" s="310" t="s">
        <v>4702</v>
      </c>
      <c r="O265" s="18" t="s">
        <v>4506</v>
      </c>
      <c r="P265" s="310" t="s">
        <v>4420</v>
      </c>
      <c r="Q265" s="310" t="s">
        <v>4420</v>
      </c>
      <c r="R265" s="310" t="s">
        <v>4420</v>
      </c>
      <c r="S265" s="310" t="s">
        <v>5791</v>
      </c>
      <c r="T265" s="59" t="s">
        <v>4420</v>
      </c>
      <c r="U265" s="59" t="s">
        <v>5791</v>
      </c>
      <c r="V265" s="59" t="s">
        <v>4420</v>
      </c>
      <c r="W265" s="59" t="s">
        <v>5791</v>
      </c>
      <c r="X265" s="310" t="s">
        <v>4420</v>
      </c>
      <c r="Y265" s="310" t="s">
        <v>5791</v>
      </c>
      <c r="Z265" s="32" t="s">
        <v>4558</v>
      </c>
      <c r="AA265" s="72">
        <v>8</v>
      </c>
      <c r="AB265" s="230">
        <v>105.6</v>
      </c>
      <c r="AC265" s="18">
        <v>0</v>
      </c>
      <c r="AD265" s="301" t="s">
        <v>3983</v>
      </c>
      <c r="AE265" s="310">
        <f>INDEX('[2]Cross-Section Database'!$C$2:$V$2928,MATCH(AD265,'[2]Cross-Section Database'!$B$2:$B$2928,0),3)</f>
        <v>240</v>
      </c>
      <c r="AF265" s="310">
        <f>INDEX('[2]Cross-Section Database'!$C$2:$V$2928,MATCH(AD265,'[2]Cross-Section Database'!$B$2:$B$2928,0),4)</f>
        <v>240</v>
      </c>
      <c r="AG265" s="21">
        <f>INDEX('[2]Cross-Section Database'!$C$2:$V$2928,MATCH(AD265,'[2]Cross-Section Database'!$B$2:$B$2928,0),6)</f>
        <v>17</v>
      </c>
      <c r="AH265" s="21">
        <f>INDEX('[2]Cross-Section Database'!$C$2:$V$2928,MATCH(AD265,'[2]Cross-Section Database'!$B$2:$B$2928,0),5)</f>
        <v>10</v>
      </c>
      <c r="AI265" s="33">
        <v>2750</v>
      </c>
      <c r="AJ265" s="301" t="s">
        <v>3907</v>
      </c>
      <c r="AK265" s="21">
        <f>INDEX('[2]Cross-Section Database'!$C$2:$V$2928,MATCH(AJ265,'[2]Cross-Section Database'!$B$2:$B$2928,0),3)</f>
        <v>240</v>
      </c>
      <c r="AL265" s="21">
        <f>INDEX('[2]Cross-Section Database'!$C$2:$V$2928,MATCH(AJ265,'[2]Cross-Section Database'!$B$2:$B$2928,0),4)</f>
        <v>120</v>
      </c>
      <c r="AM265" s="21">
        <f>INDEX('[2]Cross-Section Database'!$C$2:$V$2928,MATCH(AJ265,'[2]Cross-Section Database'!$B$2:$B$2928,0),6)</f>
        <v>9.8000000000000007</v>
      </c>
      <c r="AN265" s="21">
        <f>INDEX('[2]Cross-Section Database'!$C$2:$V$2928,MATCH(AJ265,'[2]Cross-Section Database'!$B$2:$B$2928,0),5)</f>
        <v>6.2</v>
      </c>
      <c r="AO265" s="21">
        <v>1000</v>
      </c>
      <c r="AP265" s="21">
        <f>INDEX('[2]Cross-Section Database'!$C$2:$V$3928,MATCH(AJ265,'[2]Cross-Section Database'!$B$2:$B$3928,0),11)</f>
        <v>38920000</v>
      </c>
      <c r="AQ265" s="24">
        <f>INDEX('[2]Cross-Section Database'!$C$2:$V$3928,MATCH(AJ265,'[2]Cross-Section Database'!$B$2:$B$3928,0),12)</f>
        <v>367000</v>
      </c>
      <c r="AR265" s="21">
        <v>15</v>
      </c>
      <c r="AS265" s="21">
        <v>160</v>
      </c>
      <c r="AT265" s="21">
        <v>264</v>
      </c>
      <c r="AU265" s="21">
        <f t="shared" si="142"/>
        <v>12</v>
      </c>
      <c r="AV265" s="21">
        <f t="shared" si="122"/>
        <v>12</v>
      </c>
      <c r="AW265" s="301" t="s">
        <v>5806</v>
      </c>
      <c r="AX265" s="310" t="s">
        <v>4612</v>
      </c>
      <c r="AY265" s="21">
        <f t="shared" si="143"/>
        <v>30</v>
      </c>
      <c r="AZ265" s="310">
        <v>20</v>
      </c>
      <c r="BA265" s="310">
        <f t="shared" si="135"/>
        <v>245</v>
      </c>
      <c r="BB265" s="21">
        <v>54</v>
      </c>
      <c r="BC265" s="21">
        <v>54</v>
      </c>
      <c r="BD265" s="21">
        <v>0</v>
      </c>
      <c r="BE265" s="21">
        <v>96</v>
      </c>
      <c r="BF265" s="21">
        <v>156</v>
      </c>
      <c r="BG265" s="15" t="s">
        <v>4470</v>
      </c>
      <c r="BH265" s="310" t="s">
        <v>6204</v>
      </c>
      <c r="BI265" s="310" t="s">
        <v>6204</v>
      </c>
      <c r="BJ265" s="310">
        <v>2</v>
      </c>
      <c r="BK265" s="18">
        <v>4</v>
      </c>
      <c r="BL265" s="196" t="s">
        <v>5791</v>
      </c>
      <c r="BM265" s="197" t="s">
        <v>5791</v>
      </c>
      <c r="BN265" s="197" t="s">
        <v>5791</v>
      </c>
      <c r="BO265" s="197" t="s">
        <v>5791</v>
      </c>
      <c r="BP265" s="197" t="s">
        <v>5791</v>
      </c>
      <c r="BQ265" s="197" t="s">
        <v>5791</v>
      </c>
      <c r="BR265" s="197" t="s">
        <v>5791</v>
      </c>
      <c r="BS265" s="197" t="s">
        <v>5791</v>
      </c>
      <c r="BT265" s="196" t="s">
        <v>5791</v>
      </c>
      <c r="BU265" s="197" t="s">
        <v>5791</v>
      </c>
      <c r="BV265" s="197" t="s">
        <v>5791</v>
      </c>
      <c r="BW265" s="197" t="s">
        <v>5791</v>
      </c>
      <c r="BX265" s="197" t="s">
        <v>5791</v>
      </c>
      <c r="BY265" s="197" t="s">
        <v>5791</v>
      </c>
      <c r="BZ265" s="212" t="s">
        <v>5791</v>
      </c>
      <c r="CA265" s="197" t="s">
        <v>5791</v>
      </c>
      <c r="CB265" s="197" t="s">
        <v>5791</v>
      </c>
      <c r="CC265" s="197" t="s">
        <v>5791</v>
      </c>
      <c r="CD265" s="197" t="s">
        <v>5791</v>
      </c>
      <c r="CE265" s="197" t="s">
        <v>5791</v>
      </c>
      <c r="CF265" s="212" t="s">
        <v>5791</v>
      </c>
      <c r="CG265" s="301" t="s">
        <v>4450</v>
      </c>
      <c r="CH265" s="310">
        <v>275</v>
      </c>
      <c r="CI265" s="21">
        <f t="shared" si="144"/>
        <v>357.48500000000001</v>
      </c>
      <c r="CJ265" s="310">
        <v>412</v>
      </c>
      <c r="CK265" s="21">
        <f t="shared" si="145"/>
        <v>463.04</v>
      </c>
      <c r="CL265" s="68">
        <f t="shared" si="146"/>
        <v>213864</v>
      </c>
      <c r="CM265" s="310" t="s">
        <v>4450</v>
      </c>
      <c r="CN265" s="310">
        <v>275</v>
      </c>
      <c r="CO265" s="21">
        <f t="shared" si="147"/>
        <v>351.77</v>
      </c>
      <c r="CP265" s="21">
        <v>412</v>
      </c>
      <c r="CQ265" s="21">
        <f t="shared" si="148"/>
        <v>451.26499999999999</v>
      </c>
      <c r="CR265" s="68">
        <f t="shared" si="149"/>
        <v>209467.5</v>
      </c>
      <c r="CS265" s="310" t="s">
        <v>4450</v>
      </c>
      <c r="CT265" s="310">
        <v>275</v>
      </c>
      <c r="CU265" s="21">
        <v>369.44</v>
      </c>
      <c r="CV265" s="21">
        <v>410</v>
      </c>
      <c r="CW265" s="21">
        <v>503.45</v>
      </c>
      <c r="CX265" s="68">
        <v>200248</v>
      </c>
      <c r="CY265" s="201" t="s">
        <v>5791</v>
      </c>
      <c r="CZ265" s="202" t="s">
        <v>5791</v>
      </c>
      <c r="DA265" s="202" t="s">
        <v>5791</v>
      </c>
      <c r="DB265" s="203" t="s">
        <v>5791</v>
      </c>
      <c r="DC265" s="202" t="s">
        <v>5791</v>
      </c>
      <c r="DD265" s="202" t="s">
        <v>5791</v>
      </c>
      <c r="DE265" s="203" t="s">
        <v>5791</v>
      </c>
      <c r="DF265" s="274" t="s">
        <v>5791</v>
      </c>
      <c r="DG265" s="310">
        <v>10.9</v>
      </c>
      <c r="DH265" s="310">
        <v>900</v>
      </c>
      <c r="DI265" s="32">
        <v>990</v>
      </c>
      <c r="DJ265" s="310">
        <v>1000</v>
      </c>
      <c r="DK265" s="32">
        <v>1100</v>
      </c>
      <c r="DL265" s="60">
        <v>200000</v>
      </c>
      <c r="DM265" s="129" t="s">
        <v>5848</v>
      </c>
      <c r="DN265" s="32" t="s">
        <v>4435</v>
      </c>
      <c r="DO265" s="306" t="s">
        <v>4565</v>
      </c>
    </row>
    <row r="266" spans="1:119">
      <c r="A266" s="301">
        <v>261</v>
      </c>
      <c r="B266" s="349"/>
      <c r="C266" s="349"/>
      <c r="D266" s="349"/>
      <c r="E266" s="349"/>
      <c r="F266" s="349"/>
      <c r="G266" s="349"/>
      <c r="H266" s="349"/>
      <c r="I266" s="349"/>
      <c r="J266" s="286" t="s">
        <v>4721</v>
      </c>
      <c r="K266" s="301" t="s">
        <v>4383</v>
      </c>
      <c r="L266" s="310" t="s">
        <v>5791</v>
      </c>
      <c r="M266" s="301" t="s">
        <v>4508</v>
      </c>
      <c r="N266" s="310" t="s">
        <v>4702</v>
      </c>
      <c r="O266" s="18" t="s">
        <v>4506</v>
      </c>
      <c r="P266" s="310" t="s">
        <v>4420</v>
      </c>
      <c r="Q266" s="310" t="s">
        <v>4420</v>
      </c>
      <c r="R266" s="310" t="s">
        <v>4420</v>
      </c>
      <c r="S266" s="310" t="s">
        <v>5791</v>
      </c>
      <c r="T266" s="59" t="s">
        <v>4420</v>
      </c>
      <c r="U266" s="59" t="s">
        <v>5791</v>
      </c>
      <c r="V266" s="59" t="s">
        <v>4420</v>
      </c>
      <c r="W266" s="59" t="s">
        <v>5791</v>
      </c>
      <c r="X266" s="310" t="s">
        <v>4420</v>
      </c>
      <c r="Y266" s="310" t="s">
        <v>5791</v>
      </c>
      <c r="Z266" s="32" t="s">
        <v>4558</v>
      </c>
      <c r="AA266" s="72">
        <v>8</v>
      </c>
      <c r="AB266" s="230">
        <v>265</v>
      </c>
      <c r="AC266" s="18">
        <v>0</v>
      </c>
      <c r="AD266" s="301" t="s">
        <v>3983</v>
      </c>
      <c r="AE266" s="310">
        <f>INDEX('[2]Cross-Section Database'!$C$2:$V$2928,MATCH(AD266,'[2]Cross-Section Database'!$B$2:$B$2928,0),3)</f>
        <v>240</v>
      </c>
      <c r="AF266" s="310">
        <f>INDEX('[2]Cross-Section Database'!$C$2:$V$2928,MATCH(AD266,'[2]Cross-Section Database'!$B$2:$B$2928,0),4)</f>
        <v>240</v>
      </c>
      <c r="AG266" s="21">
        <f>INDEX('[2]Cross-Section Database'!$C$2:$V$2928,MATCH(AD266,'[2]Cross-Section Database'!$B$2:$B$2928,0),6)</f>
        <v>17</v>
      </c>
      <c r="AH266" s="21">
        <f>INDEX('[2]Cross-Section Database'!$C$2:$V$2928,MATCH(AD266,'[2]Cross-Section Database'!$B$2:$B$2928,0),5)</f>
        <v>10</v>
      </c>
      <c r="AI266" s="33">
        <v>2750</v>
      </c>
      <c r="AJ266" s="301" t="s">
        <v>3907</v>
      </c>
      <c r="AK266" s="21">
        <f>INDEX('[2]Cross-Section Database'!$C$2:$V$2928,MATCH(AJ266,'[2]Cross-Section Database'!$B$2:$B$2928,0),3)</f>
        <v>240</v>
      </c>
      <c r="AL266" s="21">
        <f>INDEX('[2]Cross-Section Database'!$C$2:$V$2928,MATCH(AJ266,'[2]Cross-Section Database'!$B$2:$B$2928,0),4)</f>
        <v>120</v>
      </c>
      <c r="AM266" s="21">
        <f>INDEX('[2]Cross-Section Database'!$C$2:$V$2928,MATCH(AJ266,'[2]Cross-Section Database'!$B$2:$B$2928,0),6)</f>
        <v>9.8000000000000007</v>
      </c>
      <c r="AN266" s="21">
        <f>INDEX('[2]Cross-Section Database'!$C$2:$V$2928,MATCH(AJ266,'[2]Cross-Section Database'!$B$2:$B$2928,0),5)</f>
        <v>6.2</v>
      </c>
      <c r="AO266" s="21">
        <v>1000</v>
      </c>
      <c r="AP266" s="21">
        <f>INDEX('[2]Cross-Section Database'!$C$2:$V$3928,MATCH(AJ266,'[2]Cross-Section Database'!$B$2:$B$3928,0),11)</f>
        <v>38920000</v>
      </c>
      <c r="AQ266" s="24">
        <f>INDEX('[2]Cross-Section Database'!$C$2:$V$3928,MATCH(AJ266,'[2]Cross-Section Database'!$B$2:$B$3928,0),12)</f>
        <v>367000</v>
      </c>
      <c r="AR266" s="21">
        <v>15</v>
      </c>
      <c r="AS266" s="21">
        <v>160</v>
      </c>
      <c r="AT266" s="21">
        <v>264</v>
      </c>
      <c r="AU266" s="21">
        <f t="shared" si="142"/>
        <v>12</v>
      </c>
      <c r="AV266" s="21">
        <f t="shared" si="122"/>
        <v>12</v>
      </c>
      <c r="AW266" s="301" t="s">
        <v>5806</v>
      </c>
      <c r="AX266" s="310" t="s">
        <v>4612</v>
      </c>
      <c r="AY266" s="21">
        <f t="shared" si="143"/>
        <v>30</v>
      </c>
      <c r="AZ266" s="310">
        <v>20</v>
      </c>
      <c r="BA266" s="310">
        <f t="shared" si="135"/>
        <v>245</v>
      </c>
      <c r="BB266" s="21">
        <v>54</v>
      </c>
      <c r="BC266" s="21">
        <v>54</v>
      </c>
      <c r="BD266" s="21">
        <v>0</v>
      </c>
      <c r="BE266" s="21">
        <v>96</v>
      </c>
      <c r="BF266" s="21">
        <v>156</v>
      </c>
      <c r="BG266" s="15" t="s">
        <v>4470</v>
      </c>
      <c r="BH266" s="310" t="s">
        <v>6204</v>
      </c>
      <c r="BI266" s="310" t="s">
        <v>6204</v>
      </c>
      <c r="BJ266" s="310">
        <v>2</v>
      </c>
      <c r="BK266" s="18">
        <v>4</v>
      </c>
      <c r="BL266" s="196" t="s">
        <v>5791</v>
      </c>
      <c r="BM266" s="197" t="s">
        <v>5791</v>
      </c>
      <c r="BN266" s="197" t="s">
        <v>5791</v>
      </c>
      <c r="BO266" s="197" t="s">
        <v>5791</v>
      </c>
      <c r="BP266" s="197" t="s">
        <v>5791</v>
      </c>
      <c r="BQ266" s="197" t="s">
        <v>5791</v>
      </c>
      <c r="BR266" s="197" t="s">
        <v>5791</v>
      </c>
      <c r="BS266" s="197" t="s">
        <v>5791</v>
      </c>
      <c r="BT266" s="196" t="s">
        <v>5791</v>
      </c>
      <c r="BU266" s="197" t="s">
        <v>5791</v>
      </c>
      <c r="BV266" s="197" t="s">
        <v>5791</v>
      </c>
      <c r="BW266" s="197" t="s">
        <v>5791</v>
      </c>
      <c r="BX266" s="197" t="s">
        <v>5791</v>
      </c>
      <c r="BY266" s="197" t="s">
        <v>5791</v>
      </c>
      <c r="BZ266" s="212" t="s">
        <v>5791</v>
      </c>
      <c r="CA266" s="197" t="s">
        <v>5791</v>
      </c>
      <c r="CB266" s="197" t="s">
        <v>5791</v>
      </c>
      <c r="CC266" s="197" t="s">
        <v>5791</v>
      </c>
      <c r="CD266" s="197" t="s">
        <v>5791</v>
      </c>
      <c r="CE266" s="197" t="s">
        <v>5791</v>
      </c>
      <c r="CF266" s="212" t="s">
        <v>5791</v>
      </c>
      <c r="CG266" s="301" t="s">
        <v>4450</v>
      </c>
      <c r="CH266" s="310">
        <v>275</v>
      </c>
      <c r="CI266" s="21">
        <f t="shared" si="144"/>
        <v>357.48500000000001</v>
      </c>
      <c r="CJ266" s="310">
        <v>412</v>
      </c>
      <c r="CK266" s="21">
        <f t="shared" si="145"/>
        <v>463.04</v>
      </c>
      <c r="CL266" s="68">
        <f t="shared" si="146"/>
        <v>213864</v>
      </c>
      <c r="CM266" s="310" t="s">
        <v>4450</v>
      </c>
      <c r="CN266" s="310">
        <v>275</v>
      </c>
      <c r="CO266" s="21">
        <f t="shared" si="147"/>
        <v>351.77</v>
      </c>
      <c r="CP266" s="21">
        <v>412</v>
      </c>
      <c r="CQ266" s="21">
        <f t="shared" si="148"/>
        <v>451.26499999999999</v>
      </c>
      <c r="CR266" s="68">
        <f t="shared" si="149"/>
        <v>209467.5</v>
      </c>
      <c r="CS266" s="310" t="s">
        <v>4450</v>
      </c>
      <c r="CT266" s="310">
        <v>275</v>
      </c>
      <c r="CU266" s="21">
        <v>369.44</v>
      </c>
      <c r="CV266" s="21">
        <v>410</v>
      </c>
      <c r="CW266" s="21">
        <v>503.45</v>
      </c>
      <c r="CX266" s="68">
        <v>200248</v>
      </c>
      <c r="CY266" s="201" t="s">
        <v>5791</v>
      </c>
      <c r="CZ266" s="202" t="s">
        <v>5791</v>
      </c>
      <c r="DA266" s="202" t="s">
        <v>5791</v>
      </c>
      <c r="DB266" s="203" t="s">
        <v>5791</v>
      </c>
      <c r="DC266" s="202" t="s">
        <v>5791</v>
      </c>
      <c r="DD266" s="202" t="s">
        <v>5791</v>
      </c>
      <c r="DE266" s="203" t="s">
        <v>5791</v>
      </c>
      <c r="DF266" s="274" t="s">
        <v>5791</v>
      </c>
      <c r="DG266" s="310">
        <v>10.9</v>
      </c>
      <c r="DH266" s="310">
        <v>900</v>
      </c>
      <c r="DI266" s="32">
        <v>990</v>
      </c>
      <c r="DJ266" s="310">
        <v>1000</v>
      </c>
      <c r="DK266" s="32">
        <v>1100</v>
      </c>
      <c r="DL266" s="60">
        <v>200000</v>
      </c>
      <c r="DM266" s="129" t="s">
        <v>5848</v>
      </c>
      <c r="DN266" s="32" t="s">
        <v>4435</v>
      </c>
      <c r="DO266" s="306" t="s">
        <v>4565</v>
      </c>
    </row>
    <row r="267" spans="1:119">
      <c r="A267" s="301">
        <v>262</v>
      </c>
      <c r="B267" s="349"/>
      <c r="C267" s="349"/>
      <c r="D267" s="349"/>
      <c r="E267" s="349"/>
      <c r="F267" s="349"/>
      <c r="G267" s="349"/>
      <c r="H267" s="349"/>
      <c r="I267" s="349"/>
      <c r="J267" s="286" t="s">
        <v>4722</v>
      </c>
      <c r="K267" s="301" t="s">
        <v>4383</v>
      </c>
      <c r="L267" s="310" t="s">
        <v>5791</v>
      </c>
      <c r="M267" s="301" t="s">
        <v>4508</v>
      </c>
      <c r="N267" s="310" t="s">
        <v>4702</v>
      </c>
      <c r="O267" s="18" t="s">
        <v>4506</v>
      </c>
      <c r="P267" s="310" t="s">
        <v>4420</v>
      </c>
      <c r="Q267" s="310" t="s">
        <v>4420</v>
      </c>
      <c r="R267" s="310" t="s">
        <v>4420</v>
      </c>
      <c r="S267" s="310" t="s">
        <v>5791</v>
      </c>
      <c r="T267" s="59" t="s">
        <v>4420</v>
      </c>
      <c r="U267" s="59" t="s">
        <v>5791</v>
      </c>
      <c r="V267" s="59" t="s">
        <v>4420</v>
      </c>
      <c r="W267" s="59" t="s">
        <v>5791</v>
      </c>
      <c r="X267" s="310" t="s">
        <v>4420</v>
      </c>
      <c r="Y267" s="310" t="s">
        <v>5791</v>
      </c>
      <c r="Z267" s="32" t="s">
        <v>4558</v>
      </c>
      <c r="AA267" s="72">
        <v>8</v>
      </c>
      <c r="AB267" s="230">
        <v>345</v>
      </c>
      <c r="AC267" s="18">
        <v>0</v>
      </c>
      <c r="AD267" s="301" t="s">
        <v>3983</v>
      </c>
      <c r="AE267" s="310">
        <f>INDEX('[2]Cross-Section Database'!$C$2:$V$2928,MATCH(AD267,'[2]Cross-Section Database'!$B$2:$B$2928,0),3)</f>
        <v>240</v>
      </c>
      <c r="AF267" s="310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1" t="s">
        <v>3907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2"/>
        <v>12</v>
      </c>
      <c r="AV267" s="21">
        <f t="shared" si="122"/>
        <v>12</v>
      </c>
      <c r="AW267" s="301" t="s">
        <v>5806</v>
      </c>
      <c r="AX267" s="310" t="s">
        <v>4612</v>
      </c>
      <c r="AY267" s="21">
        <f t="shared" si="143"/>
        <v>30</v>
      </c>
      <c r="AZ267" s="310">
        <v>20</v>
      </c>
      <c r="BA267" s="310">
        <f t="shared" si="135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4470</v>
      </c>
      <c r="BH267" s="310" t="s">
        <v>6204</v>
      </c>
      <c r="BI267" s="310" t="s">
        <v>6204</v>
      </c>
      <c r="BJ267" s="310">
        <v>2</v>
      </c>
      <c r="BK267" s="18">
        <v>4</v>
      </c>
      <c r="BL267" s="196" t="s">
        <v>5791</v>
      </c>
      <c r="BM267" s="197" t="s">
        <v>5791</v>
      </c>
      <c r="BN267" s="197" t="s">
        <v>5791</v>
      </c>
      <c r="BO267" s="197" t="s">
        <v>5791</v>
      </c>
      <c r="BP267" s="197" t="s">
        <v>5791</v>
      </c>
      <c r="BQ267" s="197" t="s">
        <v>5791</v>
      </c>
      <c r="BR267" s="197" t="s">
        <v>5791</v>
      </c>
      <c r="BS267" s="197" t="s">
        <v>5791</v>
      </c>
      <c r="BT267" s="196" t="s">
        <v>5791</v>
      </c>
      <c r="BU267" s="197" t="s">
        <v>5791</v>
      </c>
      <c r="BV267" s="197" t="s">
        <v>5791</v>
      </c>
      <c r="BW267" s="197" t="s">
        <v>5791</v>
      </c>
      <c r="BX267" s="197" t="s">
        <v>5791</v>
      </c>
      <c r="BY267" s="197" t="s">
        <v>5791</v>
      </c>
      <c r="BZ267" s="212" t="s">
        <v>5791</v>
      </c>
      <c r="CA267" s="197" t="s">
        <v>5791</v>
      </c>
      <c r="CB267" s="197" t="s">
        <v>5791</v>
      </c>
      <c r="CC267" s="197" t="s">
        <v>5791</v>
      </c>
      <c r="CD267" s="197" t="s">
        <v>5791</v>
      </c>
      <c r="CE267" s="197" t="s">
        <v>5791</v>
      </c>
      <c r="CF267" s="212" t="s">
        <v>5791</v>
      </c>
      <c r="CG267" s="301" t="s">
        <v>4450</v>
      </c>
      <c r="CH267" s="310">
        <v>275</v>
      </c>
      <c r="CI267" s="21">
        <f t="shared" si="144"/>
        <v>357.48500000000001</v>
      </c>
      <c r="CJ267" s="310">
        <v>412</v>
      </c>
      <c r="CK267" s="21">
        <f t="shared" si="145"/>
        <v>463.04</v>
      </c>
      <c r="CL267" s="68">
        <f t="shared" si="146"/>
        <v>213864</v>
      </c>
      <c r="CM267" s="310" t="s">
        <v>4450</v>
      </c>
      <c r="CN267" s="310">
        <v>275</v>
      </c>
      <c r="CO267" s="21">
        <f t="shared" si="147"/>
        <v>351.77</v>
      </c>
      <c r="CP267" s="21">
        <v>412</v>
      </c>
      <c r="CQ267" s="21">
        <f t="shared" si="148"/>
        <v>451.26499999999999</v>
      </c>
      <c r="CR267" s="68">
        <f t="shared" si="149"/>
        <v>209467.5</v>
      </c>
      <c r="CS267" s="310" t="s">
        <v>4450</v>
      </c>
      <c r="CT267" s="310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5791</v>
      </c>
      <c r="CZ267" s="202" t="s">
        <v>5791</v>
      </c>
      <c r="DA267" s="202" t="s">
        <v>5791</v>
      </c>
      <c r="DB267" s="203" t="s">
        <v>5791</v>
      </c>
      <c r="DC267" s="202" t="s">
        <v>5791</v>
      </c>
      <c r="DD267" s="202" t="s">
        <v>5791</v>
      </c>
      <c r="DE267" s="203" t="s">
        <v>5791</v>
      </c>
      <c r="DF267" s="274" t="s">
        <v>5791</v>
      </c>
      <c r="DG267" s="310">
        <v>10.9</v>
      </c>
      <c r="DH267" s="310">
        <v>900</v>
      </c>
      <c r="DI267" s="32">
        <v>990</v>
      </c>
      <c r="DJ267" s="310">
        <v>1000</v>
      </c>
      <c r="DK267" s="32">
        <v>1100</v>
      </c>
      <c r="DL267" s="60">
        <v>200000</v>
      </c>
      <c r="DM267" s="129" t="s">
        <v>5848</v>
      </c>
      <c r="DN267" s="32" t="s">
        <v>4435</v>
      </c>
      <c r="DO267" s="306" t="s">
        <v>4565</v>
      </c>
    </row>
    <row r="268" spans="1:119">
      <c r="A268" s="301">
        <v>263</v>
      </c>
      <c r="B268" s="349"/>
      <c r="C268" s="349"/>
      <c r="D268" s="349"/>
      <c r="E268" s="349"/>
      <c r="F268" s="349"/>
      <c r="G268" s="349"/>
      <c r="H268" s="349"/>
      <c r="I268" s="349"/>
      <c r="J268" s="286" t="s">
        <v>4723</v>
      </c>
      <c r="K268" s="301" t="s">
        <v>4383</v>
      </c>
      <c r="L268" s="310" t="s">
        <v>5791</v>
      </c>
      <c r="M268" s="301" t="s">
        <v>4508</v>
      </c>
      <c r="N268" s="310" t="s">
        <v>4702</v>
      </c>
      <c r="O268" s="18" t="s">
        <v>4506</v>
      </c>
      <c r="P268" s="310" t="s">
        <v>4420</v>
      </c>
      <c r="Q268" s="310" t="s">
        <v>4420</v>
      </c>
      <c r="R268" s="310" t="s">
        <v>4420</v>
      </c>
      <c r="S268" s="310" t="s">
        <v>5791</v>
      </c>
      <c r="T268" s="59" t="s">
        <v>4420</v>
      </c>
      <c r="U268" s="59" t="s">
        <v>5791</v>
      </c>
      <c r="V268" s="59" t="s">
        <v>4420</v>
      </c>
      <c r="W268" s="59" t="s">
        <v>5791</v>
      </c>
      <c r="X268" s="310" t="s">
        <v>4420</v>
      </c>
      <c r="Y268" s="310" t="s">
        <v>5791</v>
      </c>
      <c r="Z268" s="32" t="s">
        <v>4558</v>
      </c>
      <c r="AA268" s="72">
        <v>8</v>
      </c>
      <c r="AB268" s="230">
        <v>265</v>
      </c>
      <c r="AC268" s="18">
        <v>0</v>
      </c>
      <c r="AD268" s="301" t="s">
        <v>3983</v>
      </c>
      <c r="AE268" s="310">
        <f>INDEX('[2]Cross-Section Database'!$C$2:$V$2928,MATCH(AD268,'[2]Cross-Section Database'!$B$2:$B$2928,0),3)</f>
        <v>240</v>
      </c>
      <c r="AF268" s="310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1" t="s">
        <v>3907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2"/>
        <v>12</v>
      </c>
      <c r="AV268" s="21">
        <f t="shared" si="122"/>
        <v>12</v>
      </c>
      <c r="AW268" s="301" t="s">
        <v>5806</v>
      </c>
      <c r="AX268" s="310" t="s">
        <v>4612</v>
      </c>
      <c r="AY268" s="21">
        <f t="shared" si="143"/>
        <v>30</v>
      </c>
      <c r="AZ268" s="310">
        <v>20</v>
      </c>
      <c r="BA268" s="310">
        <f t="shared" si="135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4470</v>
      </c>
      <c r="BH268" s="310" t="s">
        <v>6204</v>
      </c>
      <c r="BI268" s="310" t="s">
        <v>6204</v>
      </c>
      <c r="BJ268" s="310">
        <v>2</v>
      </c>
      <c r="BK268" s="18">
        <v>4</v>
      </c>
      <c r="BL268" s="196" t="s">
        <v>5791</v>
      </c>
      <c r="BM268" s="197" t="s">
        <v>5791</v>
      </c>
      <c r="BN268" s="197" t="s">
        <v>5791</v>
      </c>
      <c r="BO268" s="197" t="s">
        <v>5791</v>
      </c>
      <c r="BP268" s="197" t="s">
        <v>5791</v>
      </c>
      <c r="BQ268" s="197" t="s">
        <v>5791</v>
      </c>
      <c r="BR268" s="197" t="s">
        <v>5791</v>
      </c>
      <c r="BS268" s="197" t="s">
        <v>5791</v>
      </c>
      <c r="BT268" s="196" t="s">
        <v>5791</v>
      </c>
      <c r="BU268" s="197" t="s">
        <v>5791</v>
      </c>
      <c r="BV268" s="197" t="s">
        <v>5791</v>
      </c>
      <c r="BW268" s="197" t="s">
        <v>5791</v>
      </c>
      <c r="BX268" s="197" t="s">
        <v>5791</v>
      </c>
      <c r="BY268" s="197" t="s">
        <v>5791</v>
      </c>
      <c r="BZ268" s="212" t="s">
        <v>5791</v>
      </c>
      <c r="CA268" s="197" t="s">
        <v>5791</v>
      </c>
      <c r="CB268" s="197" t="s">
        <v>5791</v>
      </c>
      <c r="CC268" s="197" t="s">
        <v>5791</v>
      </c>
      <c r="CD268" s="197" t="s">
        <v>5791</v>
      </c>
      <c r="CE268" s="197" t="s">
        <v>5791</v>
      </c>
      <c r="CF268" s="212" t="s">
        <v>5791</v>
      </c>
      <c r="CG268" s="301" t="s">
        <v>4450</v>
      </c>
      <c r="CH268" s="310">
        <v>275</v>
      </c>
      <c r="CI268" s="21">
        <f t="shared" si="144"/>
        <v>357.48500000000001</v>
      </c>
      <c r="CJ268" s="310">
        <v>412</v>
      </c>
      <c r="CK268" s="21">
        <f t="shared" si="145"/>
        <v>463.04</v>
      </c>
      <c r="CL268" s="68">
        <f t="shared" si="146"/>
        <v>213864</v>
      </c>
      <c r="CM268" s="310" t="s">
        <v>4450</v>
      </c>
      <c r="CN268" s="310">
        <v>275</v>
      </c>
      <c r="CO268" s="21">
        <f t="shared" si="147"/>
        <v>351.77</v>
      </c>
      <c r="CP268" s="21">
        <v>412</v>
      </c>
      <c r="CQ268" s="21">
        <f t="shared" si="148"/>
        <v>451.26499999999999</v>
      </c>
      <c r="CR268" s="68">
        <f t="shared" si="149"/>
        <v>209467.5</v>
      </c>
      <c r="CS268" s="310" t="s">
        <v>4450</v>
      </c>
      <c r="CT268" s="310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5791</v>
      </c>
      <c r="CZ268" s="202" t="s">
        <v>5791</v>
      </c>
      <c r="DA268" s="202" t="s">
        <v>5791</v>
      </c>
      <c r="DB268" s="203" t="s">
        <v>5791</v>
      </c>
      <c r="DC268" s="202" t="s">
        <v>5791</v>
      </c>
      <c r="DD268" s="202" t="s">
        <v>5791</v>
      </c>
      <c r="DE268" s="203" t="s">
        <v>5791</v>
      </c>
      <c r="DF268" s="274" t="s">
        <v>5791</v>
      </c>
      <c r="DG268" s="310">
        <v>10.9</v>
      </c>
      <c r="DH268" s="310">
        <v>900</v>
      </c>
      <c r="DI268" s="32">
        <v>990</v>
      </c>
      <c r="DJ268" s="310">
        <v>1000</v>
      </c>
      <c r="DK268" s="32">
        <v>1100</v>
      </c>
      <c r="DL268" s="60">
        <v>200000</v>
      </c>
      <c r="DM268" s="129" t="s">
        <v>5848</v>
      </c>
      <c r="DN268" s="32" t="s">
        <v>4435</v>
      </c>
      <c r="DO268" s="306" t="s">
        <v>4565</v>
      </c>
    </row>
    <row r="269" spans="1:119">
      <c r="A269" s="301">
        <v>264</v>
      </c>
      <c r="B269" s="349"/>
      <c r="C269" s="349"/>
      <c r="D269" s="349"/>
      <c r="E269" s="349"/>
      <c r="F269" s="349"/>
      <c r="G269" s="349"/>
      <c r="H269" s="349"/>
      <c r="I269" s="349"/>
      <c r="J269" s="286" t="s">
        <v>4724</v>
      </c>
      <c r="K269" s="301" t="s">
        <v>4383</v>
      </c>
      <c r="L269" s="310" t="s">
        <v>5791</v>
      </c>
      <c r="M269" s="301" t="s">
        <v>4508</v>
      </c>
      <c r="N269" s="310" t="s">
        <v>4702</v>
      </c>
      <c r="O269" s="18" t="s">
        <v>4506</v>
      </c>
      <c r="P269" s="310" t="s">
        <v>4420</v>
      </c>
      <c r="Q269" s="310" t="s">
        <v>4420</v>
      </c>
      <c r="R269" s="310" t="s">
        <v>4420</v>
      </c>
      <c r="S269" s="310" t="s">
        <v>5791</v>
      </c>
      <c r="T269" s="59" t="s">
        <v>4420</v>
      </c>
      <c r="U269" s="59" t="s">
        <v>5791</v>
      </c>
      <c r="V269" s="59" t="s">
        <v>4420</v>
      </c>
      <c r="W269" s="59" t="s">
        <v>5791</v>
      </c>
      <c r="X269" s="310" t="s">
        <v>4420</v>
      </c>
      <c r="Y269" s="310" t="s">
        <v>5791</v>
      </c>
      <c r="Z269" s="32" t="s">
        <v>4558</v>
      </c>
      <c r="AA269" s="72">
        <v>8</v>
      </c>
      <c r="AB269" s="230">
        <v>-130.6</v>
      </c>
      <c r="AC269" s="18">
        <v>0</v>
      </c>
      <c r="AD269" s="301" t="s">
        <v>3983</v>
      </c>
      <c r="AE269" s="310">
        <f>INDEX('[2]Cross-Section Database'!$C$2:$V$2928,MATCH(AD269,'[2]Cross-Section Database'!$B$2:$B$2928,0),3)</f>
        <v>240</v>
      </c>
      <c r="AF269" s="310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1" t="s">
        <v>3907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2"/>
        <v>12</v>
      </c>
      <c r="AV269" s="21">
        <f t="shared" si="122"/>
        <v>12</v>
      </c>
      <c r="AW269" s="301" t="s">
        <v>5806</v>
      </c>
      <c r="AX269" s="310" t="s">
        <v>4612</v>
      </c>
      <c r="AY269" s="21">
        <f t="shared" si="143"/>
        <v>30</v>
      </c>
      <c r="AZ269" s="310">
        <v>20</v>
      </c>
      <c r="BA269" s="310">
        <f t="shared" si="135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4470</v>
      </c>
      <c r="BH269" s="310" t="s">
        <v>6204</v>
      </c>
      <c r="BI269" s="310" t="s">
        <v>6204</v>
      </c>
      <c r="BJ269" s="310">
        <v>2</v>
      </c>
      <c r="BK269" s="18">
        <v>4</v>
      </c>
      <c r="BL269" s="196" t="s">
        <v>5791</v>
      </c>
      <c r="BM269" s="197" t="s">
        <v>5791</v>
      </c>
      <c r="BN269" s="197" t="s">
        <v>5791</v>
      </c>
      <c r="BO269" s="197" t="s">
        <v>5791</v>
      </c>
      <c r="BP269" s="197" t="s">
        <v>5791</v>
      </c>
      <c r="BQ269" s="197" t="s">
        <v>5791</v>
      </c>
      <c r="BR269" s="197" t="s">
        <v>5791</v>
      </c>
      <c r="BS269" s="197" t="s">
        <v>5791</v>
      </c>
      <c r="BT269" s="196" t="s">
        <v>5791</v>
      </c>
      <c r="BU269" s="197" t="s">
        <v>5791</v>
      </c>
      <c r="BV269" s="197" t="s">
        <v>5791</v>
      </c>
      <c r="BW269" s="197" t="s">
        <v>5791</v>
      </c>
      <c r="BX269" s="197" t="s">
        <v>5791</v>
      </c>
      <c r="BY269" s="197" t="s">
        <v>5791</v>
      </c>
      <c r="BZ269" s="212" t="s">
        <v>5791</v>
      </c>
      <c r="CA269" s="197" t="s">
        <v>5791</v>
      </c>
      <c r="CB269" s="197" t="s">
        <v>5791</v>
      </c>
      <c r="CC269" s="197" t="s">
        <v>5791</v>
      </c>
      <c r="CD269" s="197" t="s">
        <v>5791</v>
      </c>
      <c r="CE269" s="197" t="s">
        <v>5791</v>
      </c>
      <c r="CF269" s="212" t="s">
        <v>5791</v>
      </c>
      <c r="CG269" s="301" t="s">
        <v>4450</v>
      </c>
      <c r="CH269" s="310">
        <v>275</v>
      </c>
      <c r="CI269" s="21">
        <f t="shared" si="144"/>
        <v>357.48500000000001</v>
      </c>
      <c r="CJ269" s="310">
        <v>412</v>
      </c>
      <c r="CK269" s="21">
        <f t="shared" si="145"/>
        <v>463.04</v>
      </c>
      <c r="CL269" s="68">
        <f t="shared" si="146"/>
        <v>213864</v>
      </c>
      <c r="CM269" s="310" t="s">
        <v>4450</v>
      </c>
      <c r="CN269" s="310">
        <v>275</v>
      </c>
      <c r="CO269" s="21">
        <f t="shared" si="147"/>
        <v>351.77</v>
      </c>
      <c r="CP269" s="21">
        <v>412</v>
      </c>
      <c r="CQ269" s="21">
        <f t="shared" si="148"/>
        <v>451.26499999999999</v>
      </c>
      <c r="CR269" s="68">
        <f t="shared" si="149"/>
        <v>209467.5</v>
      </c>
      <c r="CS269" s="310" t="s">
        <v>4450</v>
      </c>
      <c r="CT269" s="310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5791</v>
      </c>
      <c r="CZ269" s="202" t="s">
        <v>5791</v>
      </c>
      <c r="DA269" s="202" t="s">
        <v>5791</v>
      </c>
      <c r="DB269" s="203" t="s">
        <v>5791</v>
      </c>
      <c r="DC269" s="201" t="s">
        <v>5791</v>
      </c>
      <c r="DD269" s="202" t="s">
        <v>5791</v>
      </c>
      <c r="DE269" s="203" t="s">
        <v>5791</v>
      </c>
      <c r="DF269" s="274" t="s">
        <v>5791</v>
      </c>
      <c r="DG269" s="310">
        <v>10.9</v>
      </c>
      <c r="DH269" s="310">
        <v>900</v>
      </c>
      <c r="DI269" s="32">
        <v>990</v>
      </c>
      <c r="DJ269" s="310">
        <v>1000</v>
      </c>
      <c r="DK269" s="32">
        <v>1100</v>
      </c>
      <c r="DL269" s="60">
        <v>200000</v>
      </c>
      <c r="DM269" s="129" t="s">
        <v>5848</v>
      </c>
      <c r="DN269" s="32" t="s">
        <v>4435</v>
      </c>
      <c r="DO269" s="306" t="s">
        <v>4565</v>
      </c>
    </row>
    <row r="270" spans="1:119" ht="15.6" customHeight="1" thickBot="1">
      <c r="A270" s="308">
        <v>265</v>
      </c>
      <c r="B270" s="350"/>
      <c r="C270" s="350"/>
      <c r="D270" s="350"/>
      <c r="E270" s="350"/>
      <c r="F270" s="350"/>
      <c r="G270" s="350"/>
      <c r="H270" s="350"/>
      <c r="I270" s="350"/>
      <c r="J270" s="285" t="s">
        <v>4725</v>
      </c>
      <c r="K270" s="308" t="s">
        <v>4383</v>
      </c>
      <c r="L270" s="311" t="s">
        <v>5791</v>
      </c>
      <c r="M270" s="308" t="s">
        <v>4508</v>
      </c>
      <c r="N270" s="311" t="s">
        <v>4702</v>
      </c>
      <c r="O270" s="14" t="s">
        <v>4506</v>
      </c>
      <c r="P270" s="311" t="s">
        <v>4420</v>
      </c>
      <c r="Q270" s="311" t="s">
        <v>4420</v>
      </c>
      <c r="R270" s="311" t="s">
        <v>4420</v>
      </c>
      <c r="S270" s="311" t="s">
        <v>5791</v>
      </c>
      <c r="T270" s="86" t="s">
        <v>4420</v>
      </c>
      <c r="U270" s="86" t="s">
        <v>5791</v>
      </c>
      <c r="V270" s="86" t="s">
        <v>4420</v>
      </c>
      <c r="W270" s="86" t="s">
        <v>5791</v>
      </c>
      <c r="X270" s="311" t="s">
        <v>4420</v>
      </c>
      <c r="Y270" s="311" t="s">
        <v>5791</v>
      </c>
      <c r="Z270" s="34" t="s">
        <v>4558</v>
      </c>
      <c r="AA270" s="117">
        <v>8</v>
      </c>
      <c r="AB270" s="231">
        <v>-264.89999999999998</v>
      </c>
      <c r="AC270" s="14">
        <v>0</v>
      </c>
      <c r="AD270" s="308" t="s">
        <v>3983</v>
      </c>
      <c r="AE270" s="311">
        <f>INDEX('[2]Cross-Section Database'!$C$2:$V$2928,MATCH(AD270,'[2]Cross-Section Database'!$B$2:$B$2928,0),3)</f>
        <v>240</v>
      </c>
      <c r="AF270" s="311">
        <f>INDEX('[2]Cross-Section Database'!$C$2:$V$2928,MATCH(AD270,'[2]Cross-Section Database'!$B$2:$B$2928,0),4)</f>
        <v>240</v>
      </c>
      <c r="AG270" s="23">
        <f>INDEX('[2]Cross-Section Database'!$C$2:$V$2928,MATCH(AD270,'[2]Cross-Section Database'!$B$2:$B$2928,0),6)</f>
        <v>17</v>
      </c>
      <c r="AH270" s="23">
        <f>INDEX('[2]Cross-Section Database'!$C$2:$V$2928,MATCH(AD270,'[2]Cross-Section Database'!$B$2:$B$2928,0),5)</f>
        <v>10</v>
      </c>
      <c r="AI270" s="35">
        <v>2750</v>
      </c>
      <c r="AJ270" s="308" t="s">
        <v>3907</v>
      </c>
      <c r="AK270" s="23">
        <f>INDEX('[2]Cross-Section Database'!$C$2:$V$2928,MATCH(AJ270,'[2]Cross-Section Database'!$B$2:$B$2928,0),3)</f>
        <v>240</v>
      </c>
      <c r="AL270" s="23">
        <f>INDEX('[2]Cross-Section Database'!$C$2:$V$2928,MATCH(AJ270,'[2]Cross-Section Database'!$B$2:$B$2928,0),4)</f>
        <v>120</v>
      </c>
      <c r="AM270" s="23">
        <f>INDEX('[2]Cross-Section Database'!$C$2:$V$2928,MATCH(AJ270,'[2]Cross-Section Database'!$B$2:$B$2928,0),6)</f>
        <v>9.8000000000000007</v>
      </c>
      <c r="AN270" s="23">
        <f>INDEX('[2]Cross-Section Database'!$C$2:$V$2928,MATCH(AJ270,'[2]Cross-Section Database'!$B$2:$B$2928,0),5)</f>
        <v>6.2</v>
      </c>
      <c r="AO270" s="23">
        <v>1000</v>
      </c>
      <c r="AP270" s="23">
        <f>INDEX('[2]Cross-Section Database'!$C$2:$V$3928,MATCH(AJ270,'[2]Cross-Section Database'!$B$2:$B$3928,0),11)</f>
        <v>38920000</v>
      </c>
      <c r="AQ270" s="25">
        <f>INDEX('[2]Cross-Section Database'!$C$2:$V$3928,MATCH(AJ270,'[2]Cross-Section Database'!$B$2:$B$3928,0),12)</f>
        <v>367000</v>
      </c>
      <c r="AR270" s="23">
        <v>15</v>
      </c>
      <c r="AS270" s="23">
        <v>160</v>
      </c>
      <c r="AT270" s="23">
        <v>264</v>
      </c>
      <c r="AU270" s="23">
        <f t="shared" si="142"/>
        <v>12</v>
      </c>
      <c r="AV270" s="23">
        <f t="shared" si="122"/>
        <v>12</v>
      </c>
      <c r="AW270" s="308" t="s">
        <v>5806</v>
      </c>
      <c r="AX270" s="311" t="s">
        <v>4612</v>
      </c>
      <c r="AY270" s="23">
        <f t="shared" si="143"/>
        <v>30</v>
      </c>
      <c r="AZ270" s="311">
        <v>20</v>
      </c>
      <c r="BA270" s="311">
        <f t="shared" si="135"/>
        <v>245</v>
      </c>
      <c r="BB270" s="23">
        <v>54</v>
      </c>
      <c r="BC270" s="23">
        <v>54</v>
      </c>
      <c r="BD270" s="23">
        <v>0</v>
      </c>
      <c r="BE270" s="23">
        <v>96</v>
      </c>
      <c r="BF270" s="23">
        <v>156</v>
      </c>
      <c r="BG270" s="19" t="s">
        <v>4470</v>
      </c>
      <c r="BH270" s="311" t="s">
        <v>6204</v>
      </c>
      <c r="BI270" s="311" t="s">
        <v>6204</v>
      </c>
      <c r="BJ270" s="311">
        <v>2</v>
      </c>
      <c r="BK270" s="14">
        <v>4</v>
      </c>
      <c r="BL270" s="191" t="s">
        <v>5791</v>
      </c>
      <c r="BM270" s="192" t="s">
        <v>5791</v>
      </c>
      <c r="BN270" s="192" t="s">
        <v>5791</v>
      </c>
      <c r="BO270" s="192" t="s">
        <v>5791</v>
      </c>
      <c r="BP270" s="192" t="s">
        <v>5791</v>
      </c>
      <c r="BQ270" s="192" t="s">
        <v>5791</v>
      </c>
      <c r="BR270" s="192" t="s">
        <v>5791</v>
      </c>
      <c r="BS270" s="192" t="s">
        <v>5791</v>
      </c>
      <c r="BT270" s="191" t="s">
        <v>5791</v>
      </c>
      <c r="BU270" s="192" t="s">
        <v>5791</v>
      </c>
      <c r="BV270" s="192" t="s">
        <v>5791</v>
      </c>
      <c r="BW270" s="192" t="s">
        <v>5791</v>
      </c>
      <c r="BX270" s="192" t="s">
        <v>5791</v>
      </c>
      <c r="BY270" s="192" t="s">
        <v>5791</v>
      </c>
      <c r="BZ270" s="214" t="s">
        <v>5791</v>
      </c>
      <c r="CA270" s="192" t="s">
        <v>5791</v>
      </c>
      <c r="CB270" s="192" t="s">
        <v>5791</v>
      </c>
      <c r="CC270" s="192" t="s">
        <v>5791</v>
      </c>
      <c r="CD270" s="192" t="s">
        <v>5791</v>
      </c>
      <c r="CE270" s="192" t="s">
        <v>5791</v>
      </c>
      <c r="CF270" s="214" t="s">
        <v>5791</v>
      </c>
      <c r="CG270" s="308" t="s">
        <v>4450</v>
      </c>
      <c r="CH270" s="311">
        <v>275</v>
      </c>
      <c r="CI270" s="23">
        <f t="shared" si="144"/>
        <v>357.48500000000001</v>
      </c>
      <c r="CJ270" s="311">
        <v>412</v>
      </c>
      <c r="CK270" s="23">
        <f t="shared" si="145"/>
        <v>463.04</v>
      </c>
      <c r="CL270" s="82">
        <f t="shared" si="146"/>
        <v>213864</v>
      </c>
      <c r="CM270" s="311" t="s">
        <v>4450</v>
      </c>
      <c r="CN270" s="311">
        <v>275</v>
      </c>
      <c r="CO270" s="23">
        <f t="shared" si="147"/>
        <v>351.77</v>
      </c>
      <c r="CP270" s="23">
        <v>412</v>
      </c>
      <c r="CQ270" s="23">
        <f t="shared" si="148"/>
        <v>451.26499999999999</v>
      </c>
      <c r="CR270" s="82">
        <f t="shared" si="149"/>
        <v>209467.5</v>
      </c>
      <c r="CS270" s="311" t="s">
        <v>4450</v>
      </c>
      <c r="CT270" s="311">
        <v>275</v>
      </c>
      <c r="CU270" s="23">
        <v>369.44</v>
      </c>
      <c r="CV270" s="23">
        <v>410</v>
      </c>
      <c r="CW270" s="23">
        <v>503.45</v>
      </c>
      <c r="CX270" s="82">
        <v>200248</v>
      </c>
      <c r="CY270" s="201" t="s">
        <v>5791</v>
      </c>
      <c r="CZ270" s="202" t="s">
        <v>5791</v>
      </c>
      <c r="DA270" s="202" t="s">
        <v>5791</v>
      </c>
      <c r="DB270" s="203" t="s">
        <v>5791</v>
      </c>
      <c r="DC270" s="201" t="s">
        <v>5791</v>
      </c>
      <c r="DD270" s="202" t="s">
        <v>5791</v>
      </c>
      <c r="DE270" s="203" t="s">
        <v>5791</v>
      </c>
      <c r="DF270" s="275" t="s">
        <v>5791</v>
      </c>
      <c r="DG270" s="311">
        <v>10.9</v>
      </c>
      <c r="DH270" s="311">
        <v>900</v>
      </c>
      <c r="DI270" s="34">
        <v>990</v>
      </c>
      <c r="DJ270" s="311">
        <v>1000</v>
      </c>
      <c r="DK270" s="34">
        <v>1100</v>
      </c>
      <c r="DL270" s="76">
        <v>200000</v>
      </c>
      <c r="DM270" s="129" t="s">
        <v>5848</v>
      </c>
      <c r="DN270" s="34" t="s">
        <v>4435</v>
      </c>
      <c r="DO270" s="307" t="s">
        <v>4565</v>
      </c>
    </row>
    <row r="271" spans="1:119" ht="15.6" customHeight="1">
      <c r="A271" s="300">
        <v>266</v>
      </c>
      <c r="B271" s="355">
        <v>37</v>
      </c>
      <c r="C271" s="355">
        <v>2006</v>
      </c>
      <c r="D271" s="359" t="s">
        <v>4678</v>
      </c>
      <c r="E271" s="359" t="s">
        <v>4875</v>
      </c>
      <c r="F271" s="348">
        <v>6</v>
      </c>
      <c r="G271" s="348" t="s">
        <v>5931</v>
      </c>
      <c r="H271" s="348" t="s">
        <v>5922</v>
      </c>
      <c r="I271" s="348" t="s">
        <v>6242</v>
      </c>
      <c r="J271" s="284" t="s">
        <v>4595</v>
      </c>
      <c r="K271" s="300" t="s">
        <v>4383</v>
      </c>
      <c r="L271" s="309" t="s">
        <v>5791</v>
      </c>
      <c r="M271" s="300" t="s">
        <v>4507</v>
      </c>
      <c r="N271" s="309" t="s">
        <v>4700</v>
      </c>
      <c r="O271" s="17" t="s">
        <v>4506</v>
      </c>
      <c r="P271" s="309" t="s">
        <v>4470</v>
      </c>
      <c r="Q271" s="309" t="s">
        <v>4470</v>
      </c>
      <c r="R271" s="309" t="s">
        <v>4420</v>
      </c>
      <c r="S271" s="309" t="s">
        <v>5791</v>
      </c>
      <c r="T271" s="64" t="s">
        <v>4420</v>
      </c>
      <c r="U271" s="64" t="s">
        <v>5791</v>
      </c>
      <c r="V271" s="64" t="s">
        <v>4420</v>
      </c>
      <c r="W271" s="64" t="s">
        <v>5791</v>
      </c>
      <c r="X271" s="309" t="s">
        <v>4420</v>
      </c>
      <c r="Y271" s="309" t="s">
        <v>5791</v>
      </c>
      <c r="Z271" s="309" t="s">
        <v>6089</v>
      </c>
      <c r="AA271" s="17">
        <v>8</v>
      </c>
      <c r="AB271" s="232">
        <v>0</v>
      </c>
      <c r="AC271" s="17">
        <v>0</v>
      </c>
      <c r="AD271" s="300" t="s">
        <v>5491</v>
      </c>
      <c r="AE271" s="16">
        <f>INDEX('[2]Cross-Section Database'!$C$2:$V$2928,MATCH(AD271,'[2]Cross-Section Database'!$B$2:$B$2928,0),3)</f>
        <v>200</v>
      </c>
      <c r="AF271" s="16">
        <f>INDEX('[2]Cross-Section Database'!$C$2:$V$2928,MATCH(AD271,'[2]Cross-Section Database'!$B$2:$B$2928,0),4)</f>
        <v>200</v>
      </c>
      <c r="AG271" s="44">
        <f>INDEX('[2]Cross-Section Database'!$C$2:$V$2928,MATCH(AD271,'[2]Cross-Section Database'!$B$2:$B$2928,0),6)</f>
        <v>8.8000000000000007</v>
      </c>
      <c r="AH271" s="44">
        <f>INDEX('[2]Cross-Section Database'!$C$2:$V$2928,MATCH(AD271,'[2]Cross-Section Database'!$B$2:$B$2928,0),5)</f>
        <v>8.8000000000000007</v>
      </c>
      <c r="AI271" s="16">
        <v>1250</v>
      </c>
      <c r="AJ271" s="300" t="s">
        <v>4600</v>
      </c>
      <c r="AK271" s="16">
        <f>INDEX('[2]Cross-Section Database'!$C$2:$V$2928,MATCH(AJ271,'[2]Cross-Section Database'!$B$2:$B$2928,0),3)</f>
        <v>248</v>
      </c>
      <c r="AL271" s="16">
        <f>INDEX('[2]Cross-Section Database'!$C$2:$V$2928,MATCH(AJ271,'[2]Cross-Section Database'!$B$2:$B$2928,0),4)</f>
        <v>124</v>
      </c>
      <c r="AM271" s="16">
        <f>INDEX('[2]Cross-Section Database'!$C$2:$V$2928,MATCH(AJ271,'[2]Cross-Section Database'!$B$2:$B$2928,0),6)</f>
        <v>8</v>
      </c>
      <c r="AN271" s="16">
        <f>INDEX('[2]Cross-Section Database'!$C$2:$V$2928,MATCH(AJ271,'[2]Cross-Section Database'!$B$2:$B$2928,0),5)</f>
        <v>5</v>
      </c>
      <c r="AO271" s="16">
        <v>1750</v>
      </c>
      <c r="AP271" s="16">
        <f>INDEX('[2]Cross-Section Database'!$C$2:$V$3928,MATCH(AJ271,'[2]Cross-Section Database'!$B$2:$B$3928,0),11)</f>
        <v>35400000</v>
      </c>
      <c r="AQ271" s="26">
        <f>INDEX('[2]Cross-Section Database'!$C$2:$V$3928,MATCH(AJ271,'[2]Cross-Section Database'!$B$2:$B$3928,0),12)</f>
        <v>319000</v>
      </c>
      <c r="AR271" s="16">
        <v>10</v>
      </c>
      <c r="AS271" s="16">
        <v>200</v>
      </c>
      <c r="AT271" s="16">
        <v>300</v>
      </c>
      <c r="AU271" s="16">
        <v>25</v>
      </c>
      <c r="AV271" s="309">
        <v>25</v>
      </c>
      <c r="AW271" s="301" t="s">
        <v>5658</v>
      </c>
      <c r="AX271" s="310" t="s">
        <v>4604</v>
      </c>
      <c r="AY271" s="281">
        <f t="shared" ref="AY271:AY276" si="150" xml:space="preserve"> 300/AZ271/0.25</f>
        <v>60</v>
      </c>
      <c r="AZ271" s="310">
        <v>20</v>
      </c>
      <c r="BA271" s="310">
        <f t="shared" si="135"/>
        <v>245</v>
      </c>
      <c r="BB271" s="21">
        <v>85</v>
      </c>
      <c r="BC271" s="21">
        <f t="shared" ref="BC271:BC276" si="151">BB271</f>
        <v>85</v>
      </c>
      <c r="BD271" s="21">
        <v>0</v>
      </c>
      <c r="BE271" s="21">
        <v>100</v>
      </c>
      <c r="BF271" s="21">
        <f t="shared" ref="BF271:BF276" si="152">AT271-BB271-BC271-BD271</f>
        <v>130</v>
      </c>
      <c r="BG271" s="15" t="s">
        <v>4470</v>
      </c>
      <c r="BH271" s="310" t="s">
        <v>6204</v>
      </c>
      <c r="BI271" s="310" t="s">
        <v>6204</v>
      </c>
      <c r="BJ271" s="310">
        <v>2</v>
      </c>
      <c r="BK271" s="310">
        <v>4</v>
      </c>
      <c r="BL271" s="300">
        <v>120</v>
      </c>
      <c r="BM271" s="309">
        <v>515</v>
      </c>
      <c r="BN271" s="309" t="s">
        <v>6189</v>
      </c>
      <c r="BO271" s="309">
        <v>1</v>
      </c>
      <c r="BP271" s="309">
        <v>180</v>
      </c>
      <c r="BQ271" s="309">
        <v>1678</v>
      </c>
      <c r="BR271" s="309">
        <v>52</v>
      </c>
      <c r="BS271" s="309" t="s">
        <v>4589</v>
      </c>
      <c r="BT271" s="300" t="s">
        <v>5855</v>
      </c>
      <c r="BU271" s="309">
        <v>5</v>
      </c>
      <c r="BV271" s="309">
        <v>1</v>
      </c>
      <c r="BW271" s="309">
        <v>19</v>
      </c>
      <c r="BX271" s="309">
        <v>100</v>
      </c>
      <c r="BY271" s="309">
        <v>100</v>
      </c>
      <c r="BZ271" s="17">
        <v>265</v>
      </c>
      <c r="CA271" s="309" t="s">
        <v>4605</v>
      </c>
      <c r="CB271" s="309" t="s">
        <v>4580</v>
      </c>
      <c r="CC271" s="16">
        <f t="shared" ref="CC271:CC274" si="153">((BM271/150)+1)*PI()*12^2/4</f>
        <v>501.39818751293103</v>
      </c>
      <c r="CD271" s="16">
        <f>4*PI()*16^2/4</f>
        <v>804.24771931898704</v>
      </c>
      <c r="CE271" s="309">
        <v>20</v>
      </c>
      <c r="CF271" s="121">
        <f>CD271/(BL271-BR271)/BM271</f>
        <v>2.2965383190148118E-2</v>
      </c>
      <c r="CG271" s="105" t="s">
        <v>5663</v>
      </c>
      <c r="CH271" s="64">
        <v>300</v>
      </c>
      <c r="CI271" s="30">
        <v>372</v>
      </c>
      <c r="CJ271" s="64">
        <v>505</v>
      </c>
      <c r="CK271" s="31">
        <v>524.5</v>
      </c>
      <c r="CL271" s="65">
        <v>200000</v>
      </c>
      <c r="CM271" s="105" t="s">
        <v>5663</v>
      </c>
      <c r="CN271" s="64">
        <v>300</v>
      </c>
      <c r="CO271" s="309">
        <v>372</v>
      </c>
      <c r="CP271" s="64">
        <v>505</v>
      </c>
      <c r="CQ271" s="16">
        <v>524.5</v>
      </c>
      <c r="CR271" s="80">
        <v>200000</v>
      </c>
      <c r="CS271" s="105" t="s">
        <v>5663</v>
      </c>
      <c r="CT271" s="64">
        <v>300</v>
      </c>
      <c r="CU271" s="30">
        <v>372</v>
      </c>
      <c r="CV271" s="64">
        <v>505</v>
      </c>
      <c r="CW271" s="31">
        <v>524.5</v>
      </c>
      <c r="CX271" s="65">
        <v>200000</v>
      </c>
      <c r="CY271" s="105" t="s">
        <v>5666</v>
      </c>
      <c r="CZ271" s="16">
        <v>17.5</v>
      </c>
      <c r="DA271" s="16">
        <v>1.7</v>
      </c>
      <c r="DB271" s="65">
        <v>29000</v>
      </c>
      <c r="DC271" s="300">
        <v>596</v>
      </c>
      <c r="DD271" s="309">
        <v>683</v>
      </c>
      <c r="DE271" s="65">
        <v>200000</v>
      </c>
      <c r="DF271" s="294">
        <v>550</v>
      </c>
      <c r="DG271" s="309">
        <v>8.8000000000000007</v>
      </c>
      <c r="DH271" s="309">
        <v>640</v>
      </c>
      <c r="DI271" s="309">
        <v>984</v>
      </c>
      <c r="DJ271" s="309">
        <v>800</v>
      </c>
      <c r="DK271" s="309">
        <v>1040</v>
      </c>
      <c r="DL271" s="65">
        <v>200000</v>
      </c>
      <c r="DM271" s="42" t="s">
        <v>6041</v>
      </c>
      <c r="DN271" s="309" t="s">
        <v>4560</v>
      </c>
      <c r="DO271" s="305" t="s">
        <v>6146</v>
      </c>
    </row>
    <row r="272" spans="1:119">
      <c r="A272" s="301">
        <v>267</v>
      </c>
      <c r="B272" s="380"/>
      <c r="C272" s="380"/>
      <c r="D272" s="360"/>
      <c r="E272" s="360"/>
      <c r="F272" s="349"/>
      <c r="G272" s="349"/>
      <c r="H272" s="349"/>
      <c r="I272" s="349"/>
      <c r="J272" s="286" t="s">
        <v>4596</v>
      </c>
      <c r="K272" s="301" t="s">
        <v>4383</v>
      </c>
      <c r="L272" s="310" t="s">
        <v>5791</v>
      </c>
      <c r="M272" s="301" t="s">
        <v>4507</v>
      </c>
      <c r="N272" s="310" t="s">
        <v>4700</v>
      </c>
      <c r="O272" s="18" t="s">
        <v>4506</v>
      </c>
      <c r="P272" s="310" t="s">
        <v>4470</v>
      </c>
      <c r="Q272" s="310" t="s">
        <v>4470</v>
      </c>
      <c r="R272" s="310" t="s">
        <v>4420</v>
      </c>
      <c r="S272" s="310" t="s">
        <v>5791</v>
      </c>
      <c r="T272" s="59" t="s">
        <v>4420</v>
      </c>
      <c r="U272" s="59" t="s">
        <v>5791</v>
      </c>
      <c r="V272" s="59" t="s">
        <v>4420</v>
      </c>
      <c r="W272" s="59" t="s">
        <v>5791</v>
      </c>
      <c r="X272" s="310" t="s">
        <v>4420</v>
      </c>
      <c r="Y272" s="310" t="s">
        <v>5791</v>
      </c>
      <c r="Z272" s="310" t="s">
        <v>6089</v>
      </c>
      <c r="AA272" s="18">
        <v>8</v>
      </c>
      <c r="AB272" s="223">
        <v>0</v>
      </c>
      <c r="AC272" s="18">
        <v>0</v>
      </c>
      <c r="AD272" s="301" t="s">
        <v>5491</v>
      </c>
      <c r="AE272" s="310">
        <f>INDEX('[2]Cross-Section Database'!$C$2:$V$2928,MATCH(AD272,'[2]Cross-Section Database'!$B$2:$B$2928,0),3)</f>
        <v>200</v>
      </c>
      <c r="AF272" s="310">
        <f>INDEX('[2]Cross-Section Database'!$C$2:$V$2928,MATCH(AD272,'[2]Cross-Section Database'!$B$2:$B$2928,0),4)</f>
        <v>200</v>
      </c>
      <c r="AG272" s="21">
        <f>INDEX('[2]Cross-Section Database'!$C$2:$V$2928,MATCH(AD272,'[2]Cross-Section Database'!$B$2:$B$2928,0),6)</f>
        <v>8.8000000000000007</v>
      </c>
      <c r="AH272" s="21">
        <f>INDEX('[2]Cross-Section Database'!$C$2:$V$2928,MATCH(AD272,'[2]Cross-Section Database'!$B$2:$B$2928,0),5)</f>
        <v>8.8000000000000007</v>
      </c>
      <c r="AI272" s="21">
        <v>1250</v>
      </c>
      <c r="AJ272" s="301" t="s">
        <v>4600</v>
      </c>
      <c r="AK272" s="21">
        <f>INDEX('[2]Cross-Section Database'!$C$2:$V$2928,MATCH(AJ272,'[2]Cross-Section Database'!$B$2:$B$2928,0),3)</f>
        <v>248</v>
      </c>
      <c r="AL272" s="21">
        <f>INDEX('[2]Cross-Section Database'!$C$2:$V$2928,MATCH(AJ272,'[2]Cross-Section Database'!$B$2:$B$2928,0),4)</f>
        <v>124</v>
      </c>
      <c r="AM272" s="21">
        <f>INDEX('[2]Cross-Section Database'!$C$2:$V$2928,MATCH(AJ272,'[2]Cross-Section Database'!$B$2:$B$2928,0),6)</f>
        <v>8</v>
      </c>
      <c r="AN272" s="21">
        <f>INDEX('[2]Cross-Section Database'!$C$2:$V$2928,MATCH(AJ272,'[2]Cross-Section Database'!$B$2:$B$2928,0),5)</f>
        <v>5</v>
      </c>
      <c r="AO272" s="21">
        <v>1751</v>
      </c>
      <c r="AP272" s="21">
        <f>INDEX('[2]Cross-Section Database'!$C$2:$V$3928,MATCH(AJ272,'[2]Cross-Section Database'!$B$2:$B$3928,0),11)</f>
        <v>35400000</v>
      </c>
      <c r="AQ272" s="24">
        <f>INDEX('[2]Cross-Section Database'!$C$2:$V$3928,MATCH(AJ272,'[2]Cross-Section Database'!$B$2:$B$3928,0),12)</f>
        <v>319000</v>
      </c>
      <c r="AR272" s="21">
        <v>10</v>
      </c>
      <c r="AS272" s="21">
        <v>200</v>
      </c>
      <c r="AT272" s="21">
        <v>300</v>
      </c>
      <c r="AU272" s="21">
        <v>25</v>
      </c>
      <c r="AV272" s="21">
        <v>25</v>
      </c>
      <c r="AW272" s="301" t="s">
        <v>5658</v>
      </c>
      <c r="AX272" s="310" t="s">
        <v>4604</v>
      </c>
      <c r="AY272" s="43">
        <f t="shared" si="150"/>
        <v>60</v>
      </c>
      <c r="AZ272" s="310">
        <v>20</v>
      </c>
      <c r="BA272" s="310">
        <f t="shared" si="135"/>
        <v>245</v>
      </c>
      <c r="BB272" s="21">
        <v>85</v>
      </c>
      <c r="BC272" s="21">
        <f t="shared" si="151"/>
        <v>85</v>
      </c>
      <c r="BD272" s="21">
        <v>0</v>
      </c>
      <c r="BE272" s="21">
        <v>100</v>
      </c>
      <c r="BF272" s="21">
        <f t="shared" si="152"/>
        <v>130</v>
      </c>
      <c r="BG272" s="15" t="s">
        <v>4470</v>
      </c>
      <c r="BH272" s="310" t="s">
        <v>6204</v>
      </c>
      <c r="BI272" s="310" t="s">
        <v>6204</v>
      </c>
      <c r="BJ272" s="310">
        <v>2</v>
      </c>
      <c r="BK272" s="310">
        <v>4</v>
      </c>
      <c r="BL272" s="301">
        <v>120</v>
      </c>
      <c r="BM272" s="310">
        <v>515</v>
      </c>
      <c r="BN272" s="310" t="s">
        <v>6189</v>
      </c>
      <c r="BO272" s="310">
        <v>1</v>
      </c>
      <c r="BP272" s="310">
        <v>180</v>
      </c>
      <c r="BQ272" s="310">
        <v>1678</v>
      </c>
      <c r="BR272" s="310">
        <v>52</v>
      </c>
      <c r="BS272" s="310" t="s">
        <v>4589</v>
      </c>
      <c r="BT272" s="301" t="s">
        <v>5855</v>
      </c>
      <c r="BU272" s="310">
        <v>3</v>
      </c>
      <c r="BV272" s="310">
        <v>1</v>
      </c>
      <c r="BW272" s="310">
        <v>19</v>
      </c>
      <c r="BX272" s="310">
        <v>100</v>
      </c>
      <c r="BY272" s="310">
        <v>100</v>
      </c>
      <c r="BZ272" s="18">
        <v>480</v>
      </c>
      <c r="CA272" s="310" t="s">
        <v>4605</v>
      </c>
      <c r="CB272" s="310" t="s">
        <v>4580</v>
      </c>
      <c r="CC272" s="21">
        <f t="shared" si="153"/>
        <v>501.39818751293103</v>
      </c>
      <c r="CD272" s="21">
        <f>4*PI()*16^2/4</f>
        <v>804.24771931898704</v>
      </c>
      <c r="CE272" s="310">
        <v>20</v>
      </c>
      <c r="CF272" s="119">
        <f t="shared" ref="CF272:CF275" si="154">CD272/(BL272-BR272)/BM272</f>
        <v>2.2965383190148118E-2</v>
      </c>
      <c r="CG272" s="106" t="s">
        <v>5663</v>
      </c>
      <c r="CH272" s="59">
        <v>300</v>
      </c>
      <c r="CI272" s="32">
        <v>372</v>
      </c>
      <c r="CJ272" s="59">
        <v>505</v>
      </c>
      <c r="CK272" s="33">
        <v>524.5</v>
      </c>
      <c r="CL272" s="66">
        <v>200000</v>
      </c>
      <c r="CM272" s="106" t="s">
        <v>5663</v>
      </c>
      <c r="CN272" s="59">
        <v>300</v>
      </c>
      <c r="CO272" s="310">
        <v>372</v>
      </c>
      <c r="CP272" s="59">
        <v>505</v>
      </c>
      <c r="CQ272" s="21">
        <v>524.5</v>
      </c>
      <c r="CR272" s="68">
        <v>200000</v>
      </c>
      <c r="CS272" s="106" t="s">
        <v>5663</v>
      </c>
      <c r="CT272" s="59">
        <v>300</v>
      </c>
      <c r="CU272" s="32">
        <v>372</v>
      </c>
      <c r="CV272" s="59">
        <v>505</v>
      </c>
      <c r="CW272" s="33">
        <v>524.5</v>
      </c>
      <c r="CX272" s="66">
        <v>200000</v>
      </c>
      <c r="CY272" s="106" t="s">
        <v>5666</v>
      </c>
      <c r="CZ272" s="21">
        <v>17.5</v>
      </c>
      <c r="DA272" s="21">
        <v>1.7</v>
      </c>
      <c r="DB272" s="66">
        <v>29000</v>
      </c>
      <c r="DC272" s="301">
        <v>596</v>
      </c>
      <c r="DD272" s="310">
        <v>683</v>
      </c>
      <c r="DE272" s="66">
        <v>200000</v>
      </c>
      <c r="DF272" s="295">
        <v>550</v>
      </c>
      <c r="DG272" s="310">
        <v>8.8000000000000007</v>
      </c>
      <c r="DH272" s="310">
        <v>640</v>
      </c>
      <c r="DI272" s="310">
        <v>984</v>
      </c>
      <c r="DJ272" s="310">
        <v>800</v>
      </c>
      <c r="DK272" s="310">
        <v>1040</v>
      </c>
      <c r="DL272" s="66">
        <v>200000</v>
      </c>
      <c r="DM272" s="40" t="s">
        <v>6041</v>
      </c>
      <c r="DN272" s="310" t="s">
        <v>4560</v>
      </c>
      <c r="DO272" s="306" t="s">
        <v>6147</v>
      </c>
    </row>
    <row r="273" spans="1:119">
      <c r="A273" s="301">
        <v>268</v>
      </c>
      <c r="B273" s="380"/>
      <c r="C273" s="380"/>
      <c r="D273" s="360"/>
      <c r="E273" s="360"/>
      <c r="F273" s="349"/>
      <c r="G273" s="349"/>
      <c r="H273" s="349"/>
      <c r="I273" s="349"/>
      <c r="J273" s="286" t="s">
        <v>4597</v>
      </c>
      <c r="K273" s="301" t="s">
        <v>4383</v>
      </c>
      <c r="L273" s="310" t="s">
        <v>5791</v>
      </c>
      <c r="M273" s="301" t="s">
        <v>4507</v>
      </c>
      <c r="N273" s="310" t="s">
        <v>4700</v>
      </c>
      <c r="O273" s="18" t="s">
        <v>4506</v>
      </c>
      <c r="P273" s="310" t="s">
        <v>4470</v>
      </c>
      <c r="Q273" s="310" t="s">
        <v>4470</v>
      </c>
      <c r="R273" s="310" t="s">
        <v>4420</v>
      </c>
      <c r="S273" s="310" t="s">
        <v>5791</v>
      </c>
      <c r="T273" s="59" t="s">
        <v>4420</v>
      </c>
      <c r="U273" s="59" t="s">
        <v>5791</v>
      </c>
      <c r="V273" s="59" t="s">
        <v>4420</v>
      </c>
      <c r="W273" s="59" t="s">
        <v>5791</v>
      </c>
      <c r="X273" s="310" t="s">
        <v>4420</v>
      </c>
      <c r="Y273" s="310" t="s">
        <v>5791</v>
      </c>
      <c r="Z273" s="310" t="s">
        <v>6089</v>
      </c>
      <c r="AA273" s="18">
        <v>8</v>
      </c>
      <c r="AB273" s="223">
        <v>0</v>
      </c>
      <c r="AC273" s="18">
        <v>0</v>
      </c>
      <c r="AD273" s="301" t="s">
        <v>5491</v>
      </c>
      <c r="AE273" s="310">
        <f>INDEX('[2]Cross-Section Database'!$C$2:$V$2928,MATCH(AD273,'[2]Cross-Section Database'!$B$2:$B$2928,0),3)</f>
        <v>200</v>
      </c>
      <c r="AF273" s="310">
        <f>INDEX('[2]Cross-Section Database'!$C$2:$V$2928,MATCH(AD273,'[2]Cross-Section Database'!$B$2:$B$2928,0),4)</f>
        <v>200</v>
      </c>
      <c r="AG273" s="21">
        <f>INDEX('[2]Cross-Section Database'!$C$2:$V$2928,MATCH(AD273,'[2]Cross-Section Database'!$B$2:$B$2928,0),6)</f>
        <v>8.8000000000000007</v>
      </c>
      <c r="AH273" s="21">
        <f>INDEX('[2]Cross-Section Database'!$C$2:$V$2928,MATCH(AD273,'[2]Cross-Section Database'!$B$2:$B$2928,0),5)</f>
        <v>8.8000000000000007</v>
      </c>
      <c r="AI273" s="21">
        <v>1250</v>
      </c>
      <c r="AJ273" s="301" t="s">
        <v>4600</v>
      </c>
      <c r="AK273" s="21">
        <f>INDEX('[2]Cross-Section Database'!$C$2:$V$2928,MATCH(AJ273,'[2]Cross-Section Database'!$B$2:$B$2928,0),3)</f>
        <v>248</v>
      </c>
      <c r="AL273" s="21">
        <f>INDEX('[2]Cross-Section Database'!$C$2:$V$2928,MATCH(AJ273,'[2]Cross-Section Database'!$B$2:$B$2928,0),4)</f>
        <v>124</v>
      </c>
      <c r="AM273" s="21">
        <f>INDEX('[2]Cross-Section Database'!$C$2:$V$2928,MATCH(AJ273,'[2]Cross-Section Database'!$B$2:$B$2928,0),6)</f>
        <v>8</v>
      </c>
      <c r="AN273" s="21">
        <f>INDEX('[2]Cross-Section Database'!$C$2:$V$2928,MATCH(AJ273,'[2]Cross-Section Database'!$B$2:$B$2928,0),5)</f>
        <v>5</v>
      </c>
      <c r="AO273" s="21">
        <v>1752</v>
      </c>
      <c r="AP273" s="21">
        <f>INDEX('[2]Cross-Section Database'!$C$2:$V$3928,MATCH(AJ273,'[2]Cross-Section Database'!$B$2:$B$3928,0),11)</f>
        <v>35400000</v>
      </c>
      <c r="AQ273" s="24">
        <f>INDEX('[2]Cross-Section Database'!$C$2:$V$3928,MATCH(AJ273,'[2]Cross-Section Database'!$B$2:$B$3928,0),12)</f>
        <v>319000</v>
      </c>
      <c r="AR273" s="21">
        <v>10</v>
      </c>
      <c r="AS273" s="21">
        <v>200</v>
      </c>
      <c r="AT273" s="21">
        <v>300</v>
      </c>
      <c r="AU273" s="21">
        <v>25</v>
      </c>
      <c r="AV273" s="21">
        <v>25</v>
      </c>
      <c r="AW273" s="301" t="s">
        <v>5658</v>
      </c>
      <c r="AX273" s="310" t="s">
        <v>4604</v>
      </c>
      <c r="AY273" s="310">
        <f t="shared" si="150"/>
        <v>60</v>
      </c>
      <c r="AZ273" s="310">
        <v>20</v>
      </c>
      <c r="BA273" s="310">
        <f t="shared" si="135"/>
        <v>245</v>
      </c>
      <c r="BB273" s="21">
        <v>85</v>
      </c>
      <c r="BC273" s="21">
        <f t="shared" si="151"/>
        <v>85</v>
      </c>
      <c r="BD273" s="21">
        <v>0</v>
      </c>
      <c r="BE273" s="21">
        <v>100</v>
      </c>
      <c r="BF273" s="21">
        <f t="shared" si="152"/>
        <v>130</v>
      </c>
      <c r="BG273" s="15" t="s">
        <v>4470</v>
      </c>
      <c r="BH273" s="310" t="s">
        <v>6204</v>
      </c>
      <c r="BI273" s="310" t="s">
        <v>6204</v>
      </c>
      <c r="BJ273" s="310">
        <v>2</v>
      </c>
      <c r="BK273" s="310">
        <v>4</v>
      </c>
      <c r="BL273" s="301">
        <v>120</v>
      </c>
      <c r="BM273" s="310">
        <v>515</v>
      </c>
      <c r="BN273" s="310" t="s">
        <v>6189</v>
      </c>
      <c r="BO273" s="310">
        <v>1</v>
      </c>
      <c r="BP273" s="310">
        <v>180</v>
      </c>
      <c r="BQ273" s="310">
        <v>1678</v>
      </c>
      <c r="BR273" s="310">
        <v>52</v>
      </c>
      <c r="BS273" s="310" t="s">
        <v>4589</v>
      </c>
      <c r="BT273" s="301" t="s">
        <v>5855</v>
      </c>
      <c r="BU273" s="310">
        <v>2</v>
      </c>
      <c r="BV273" s="310">
        <v>1</v>
      </c>
      <c r="BW273" s="310">
        <v>19</v>
      </c>
      <c r="BX273" s="310">
        <v>100</v>
      </c>
      <c r="BY273" s="310">
        <v>100</v>
      </c>
      <c r="BZ273" s="18">
        <v>800</v>
      </c>
      <c r="CA273" s="310" t="s">
        <v>4605</v>
      </c>
      <c r="CB273" s="310" t="s">
        <v>4580</v>
      </c>
      <c r="CC273" s="21">
        <f t="shared" si="153"/>
        <v>501.39818751293103</v>
      </c>
      <c r="CD273" s="21">
        <f>4*PI()*16^2/4</f>
        <v>804.24771931898704</v>
      </c>
      <c r="CE273" s="310">
        <v>20</v>
      </c>
      <c r="CF273" s="119">
        <f t="shared" si="154"/>
        <v>2.2965383190148118E-2</v>
      </c>
      <c r="CG273" s="106" t="s">
        <v>5663</v>
      </c>
      <c r="CH273" s="59">
        <v>300</v>
      </c>
      <c r="CI273" s="32">
        <v>372</v>
      </c>
      <c r="CJ273" s="59">
        <v>505</v>
      </c>
      <c r="CK273" s="33">
        <v>524.5</v>
      </c>
      <c r="CL273" s="66">
        <v>200000</v>
      </c>
      <c r="CM273" s="106" t="s">
        <v>5663</v>
      </c>
      <c r="CN273" s="59">
        <v>300</v>
      </c>
      <c r="CO273" s="310">
        <v>372</v>
      </c>
      <c r="CP273" s="59">
        <v>505</v>
      </c>
      <c r="CQ273" s="21">
        <v>524.5</v>
      </c>
      <c r="CR273" s="68">
        <v>200000</v>
      </c>
      <c r="CS273" s="106" t="s">
        <v>5663</v>
      </c>
      <c r="CT273" s="59">
        <v>300</v>
      </c>
      <c r="CU273" s="32">
        <v>372</v>
      </c>
      <c r="CV273" s="59">
        <v>505</v>
      </c>
      <c r="CW273" s="33">
        <v>524.5</v>
      </c>
      <c r="CX273" s="66">
        <v>200000</v>
      </c>
      <c r="CY273" s="106" t="s">
        <v>5666</v>
      </c>
      <c r="CZ273" s="21">
        <v>17.5</v>
      </c>
      <c r="DA273" s="21">
        <v>1.7</v>
      </c>
      <c r="DB273" s="66">
        <v>29000</v>
      </c>
      <c r="DC273" s="301">
        <v>596</v>
      </c>
      <c r="DD273" s="310">
        <v>683</v>
      </c>
      <c r="DE273" s="66">
        <v>200000</v>
      </c>
      <c r="DF273" s="295">
        <v>550</v>
      </c>
      <c r="DG273" s="310">
        <v>8.8000000000000007</v>
      </c>
      <c r="DH273" s="310">
        <v>640</v>
      </c>
      <c r="DI273" s="310">
        <v>984</v>
      </c>
      <c r="DJ273" s="310">
        <v>800</v>
      </c>
      <c r="DK273" s="310">
        <v>1040</v>
      </c>
      <c r="DL273" s="66">
        <v>200000</v>
      </c>
      <c r="DM273" s="40" t="s">
        <v>6041</v>
      </c>
      <c r="DN273" s="310" t="s">
        <v>4560</v>
      </c>
      <c r="DO273" s="306" t="s">
        <v>6148</v>
      </c>
    </row>
    <row r="274" spans="1:119">
      <c r="A274" s="301">
        <v>269</v>
      </c>
      <c r="B274" s="380"/>
      <c r="C274" s="380"/>
      <c r="D274" s="360"/>
      <c r="E274" s="360"/>
      <c r="F274" s="349"/>
      <c r="G274" s="349"/>
      <c r="H274" s="349"/>
      <c r="I274" s="349"/>
      <c r="J274" s="286" t="s">
        <v>4598</v>
      </c>
      <c r="K274" s="301" t="s">
        <v>4383</v>
      </c>
      <c r="L274" s="310" t="s">
        <v>5791</v>
      </c>
      <c r="M274" s="301" t="s">
        <v>4507</v>
      </c>
      <c r="N274" s="310" t="s">
        <v>4700</v>
      </c>
      <c r="O274" s="18" t="s">
        <v>4506</v>
      </c>
      <c r="P274" s="310" t="s">
        <v>4470</v>
      </c>
      <c r="Q274" s="310" t="s">
        <v>4470</v>
      </c>
      <c r="R274" s="310" t="s">
        <v>4420</v>
      </c>
      <c r="S274" s="310" t="s">
        <v>5791</v>
      </c>
      <c r="T274" s="59" t="s">
        <v>4420</v>
      </c>
      <c r="U274" s="59" t="s">
        <v>5791</v>
      </c>
      <c r="V274" s="59" t="s">
        <v>4420</v>
      </c>
      <c r="W274" s="59" t="s">
        <v>5791</v>
      </c>
      <c r="X274" s="310" t="s">
        <v>4420</v>
      </c>
      <c r="Y274" s="310" t="s">
        <v>5791</v>
      </c>
      <c r="Z274" s="310" t="s">
        <v>6089</v>
      </c>
      <c r="AA274" s="18">
        <v>8</v>
      </c>
      <c r="AB274" s="223">
        <v>0</v>
      </c>
      <c r="AC274" s="18">
        <v>0</v>
      </c>
      <c r="AD274" s="301" t="s">
        <v>5491</v>
      </c>
      <c r="AE274" s="21">
        <f>INDEX('[2]Cross-Section Database'!$C$2:$V$2928,MATCH(AD274,'[2]Cross-Section Database'!$B$2:$B$2928,0),3)</f>
        <v>200</v>
      </c>
      <c r="AF274" s="21">
        <f>INDEX('[2]Cross-Section Database'!$C$2:$V$2928,MATCH(AD274,'[2]Cross-Section Database'!$B$2:$B$2928,0),4)</f>
        <v>200</v>
      </c>
      <c r="AG274" s="21">
        <f>INDEX('[2]Cross-Section Database'!$C$2:$V$2928,MATCH(AD274,'[2]Cross-Section Database'!$B$2:$B$2928,0),6)</f>
        <v>8.8000000000000007</v>
      </c>
      <c r="AH274" s="21">
        <f>INDEX('[2]Cross-Section Database'!$C$2:$V$2928,MATCH(AD274,'[2]Cross-Section Database'!$B$2:$B$2928,0),5)</f>
        <v>8.8000000000000007</v>
      </c>
      <c r="AI274" s="21">
        <v>1250</v>
      </c>
      <c r="AJ274" s="301" t="s">
        <v>4600</v>
      </c>
      <c r="AK274" s="21">
        <f>INDEX('[2]Cross-Section Database'!$C$2:$V$2928,MATCH(AJ274,'[2]Cross-Section Database'!$B$2:$B$2928,0),3)</f>
        <v>248</v>
      </c>
      <c r="AL274" s="21">
        <f>INDEX('[2]Cross-Section Database'!$C$2:$V$2928,MATCH(AJ274,'[2]Cross-Section Database'!$B$2:$B$2928,0),4)</f>
        <v>124</v>
      </c>
      <c r="AM274" s="21">
        <f>INDEX('[2]Cross-Section Database'!$C$2:$V$2928,MATCH(AJ274,'[2]Cross-Section Database'!$B$2:$B$2928,0),6)</f>
        <v>8</v>
      </c>
      <c r="AN274" s="21">
        <f>INDEX('[2]Cross-Section Database'!$C$2:$V$2928,MATCH(AJ274,'[2]Cross-Section Database'!$B$2:$B$2928,0),5)</f>
        <v>5</v>
      </c>
      <c r="AO274" s="21">
        <v>1753</v>
      </c>
      <c r="AP274" s="21">
        <f>INDEX('[2]Cross-Section Database'!$C$2:$V$3928,MATCH(AJ274,'[2]Cross-Section Database'!$B$2:$B$3928,0),11)</f>
        <v>35400000</v>
      </c>
      <c r="AQ274" s="24">
        <f>INDEX('[2]Cross-Section Database'!$C$2:$V$3928,MATCH(AJ274,'[2]Cross-Section Database'!$B$2:$B$3928,0),12)</f>
        <v>319000</v>
      </c>
      <c r="AR274" s="21">
        <v>10</v>
      </c>
      <c r="AS274" s="21">
        <v>200</v>
      </c>
      <c r="AT274" s="21">
        <v>300</v>
      </c>
      <c r="AU274" s="21">
        <v>25</v>
      </c>
      <c r="AV274" s="21">
        <v>25</v>
      </c>
      <c r="AW274" s="301" t="s">
        <v>5658</v>
      </c>
      <c r="AX274" s="310" t="s">
        <v>4604</v>
      </c>
      <c r="AY274" s="310">
        <f t="shared" si="150"/>
        <v>60</v>
      </c>
      <c r="AZ274" s="310">
        <v>20</v>
      </c>
      <c r="BA274" s="310">
        <f t="shared" si="135"/>
        <v>245</v>
      </c>
      <c r="BB274" s="21">
        <v>85</v>
      </c>
      <c r="BC274" s="21">
        <f t="shared" si="151"/>
        <v>85</v>
      </c>
      <c r="BD274" s="21">
        <v>0</v>
      </c>
      <c r="BE274" s="21">
        <v>100</v>
      </c>
      <c r="BF274" s="21">
        <f t="shared" si="152"/>
        <v>130</v>
      </c>
      <c r="BG274" s="15" t="s">
        <v>4470</v>
      </c>
      <c r="BH274" s="310" t="s">
        <v>6204</v>
      </c>
      <c r="BI274" s="310" t="s">
        <v>6204</v>
      </c>
      <c r="BJ274" s="310">
        <v>2</v>
      </c>
      <c r="BK274" s="310">
        <v>4</v>
      </c>
      <c r="BL274" s="301">
        <v>120</v>
      </c>
      <c r="BM274" s="310">
        <v>515</v>
      </c>
      <c r="BN274" s="310" t="s">
        <v>6189</v>
      </c>
      <c r="BO274" s="310">
        <v>1</v>
      </c>
      <c r="BP274" s="310">
        <v>180</v>
      </c>
      <c r="BQ274" s="310">
        <v>1678</v>
      </c>
      <c r="BR274" s="310">
        <v>52</v>
      </c>
      <c r="BS274" s="310" t="s">
        <v>4589</v>
      </c>
      <c r="BT274" s="301" t="s">
        <v>5855</v>
      </c>
      <c r="BU274" s="310">
        <v>3</v>
      </c>
      <c r="BV274" s="310">
        <v>1</v>
      </c>
      <c r="BW274" s="310">
        <v>19</v>
      </c>
      <c r="BX274" s="310">
        <v>100</v>
      </c>
      <c r="BY274" s="310">
        <v>100</v>
      </c>
      <c r="BZ274" s="18">
        <v>480</v>
      </c>
      <c r="CA274" s="310" t="s">
        <v>4605</v>
      </c>
      <c r="CB274" s="310" t="s">
        <v>4603</v>
      </c>
      <c r="CC274" s="21">
        <f t="shared" si="153"/>
        <v>501.39818751293103</v>
      </c>
      <c r="CD274" s="21">
        <f>2*PI()*16^2/4</f>
        <v>402.12385965949352</v>
      </c>
      <c r="CE274" s="310">
        <v>20</v>
      </c>
      <c r="CF274" s="119">
        <f t="shared" si="154"/>
        <v>1.1482691595074059E-2</v>
      </c>
      <c r="CG274" s="106" t="s">
        <v>5663</v>
      </c>
      <c r="CH274" s="59">
        <v>300</v>
      </c>
      <c r="CI274" s="32">
        <v>372</v>
      </c>
      <c r="CJ274" s="59">
        <v>505</v>
      </c>
      <c r="CK274" s="33">
        <v>524.5</v>
      </c>
      <c r="CL274" s="66">
        <v>200000</v>
      </c>
      <c r="CM274" s="106" t="s">
        <v>5663</v>
      </c>
      <c r="CN274" s="59">
        <v>300</v>
      </c>
      <c r="CO274" s="310">
        <v>372</v>
      </c>
      <c r="CP274" s="59">
        <v>505</v>
      </c>
      <c r="CQ274" s="21">
        <v>524.5</v>
      </c>
      <c r="CR274" s="68">
        <v>200000</v>
      </c>
      <c r="CS274" s="106" t="s">
        <v>5663</v>
      </c>
      <c r="CT274" s="59">
        <v>300</v>
      </c>
      <c r="CU274" s="32">
        <v>372</v>
      </c>
      <c r="CV274" s="59">
        <v>505</v>
      </c>
      <c r="CW274" s="33">
        <v>524.5</v>
      </c>
      <c r="CX274" s="66">
        <v>200000</v>
      </c>
      <c r="CY274" s="106" t="s">
        <v>5666</v>
      </c>
      <c r="CZ274" s="21">
        <v>17.5</v>
      </c>
      <c r="DA274" s="21">
        <v>1.7</v>
      </c>
      <c r="DB274" s="66">
        <v>29000</v>
      </c>
      <c r="DC274" s="301">
        <v>596</v>
      </c>
      <c r="DD274" s="310">
        <v>683</v>
      </c>
      <c r="DE274" s="66">
        <v>200000</v>
      </c>
      <c r="DF274" s="295">
        <v>550</v>
      </c>
      <c r="DG274" s="310">
        <v>8.8000000000000007</v>
      </c>
      <c r="DH274" s="310">
        <v>640</v>
      </c>
      <c r="DI274" s="310">
        <v>984</v>
      </c>
      <c r="DJ274" s="310">
        <v>800</v>
      </c>
      <c r="DK274" s="310">
        <v>1040</v>
      </c>
      <c r="DL274" s="66">
        <v>200000</v>
      </c>
      <c r="DM274" s="40" t="s">
        <v>6042</v>
      </c>
      <c r="DN274" s="310" t="s">
        <v>4560</v>
      </c>
      <c r="DO274" s="306" t="s">
        <v>6149</v>
      </c>
    </row>
    <row r="275" spans="1:119">
      <c r="A275" s="301">
        <v>270</v>
      </c>
      <c r="B275" s="380"/>
      <c r="C275" s="380"/>
      <c r="D275" s="360"/>
      <c r="E275" s="360"/>
      <c r="F275" s="349"/>
      <c r="G275" s="349"/>
      <c r="H275" s="349"/>
      <c r="I275" s="349"/>
      <c r="J275" s="286" t="s">
        <v>4599</v>
      </c>
      <c r="K275" s="301" t="s">
        <v>4383</v>
      </c>
      <c r="L275" s="310" t="s">
        <v>5791</v>
      </c>
      <c r="M275" s="301" t="s">
        <v>4507</v>
      </c>
      <c r="N275" s="310" t="s">
        <v>4700</v>
      </c>
      <c r="O275" s="18" t="s">
        <v>4506</v>
      </c>
      <c r="P275" s="310" t="s">
        <v>4470</v>
      </c>
      <c r="Q275" s="310" t="s">
        <v>4470</v>
      </c>
      <c r="R275" s="310" t="s">
        <v>4420</v>
      </c>
      <c r="S275" s="310" t="s">
        <v>5791</v>
      </c>
      <c r="T275" s="59" t="s">
        <v>4420</v>
      </c>
      <c r="U275" s="59" t="s">
        <v>5791</v>
      </c>
      <c r="V275" s="59" t="s">
        <v>4420</v>
      </c>
      <c r="W275" s="59" t="s">
        <v>5791</v>
      </c>
      <c r="X275" s="310" t="s">
        <v>4420</v>
      </c>
      <c r="Y275" s="310" t="s">
        <v>5791</v>
      </c>
      <c r="Z275" s="310" t="s">
        <v>6089</v>
      </c>
      <c r="AA275" s="18">
        <v>8</v>
      </c>
      <c r="AB275" s="223">
        <v>0</v>
      </c>
      <c r="AC275" s="18">
        <v>0</v>
      </c>
      <c r="AD275" s="301" t="s">
        <v>5491</v>
      </c>
      <c r="AE275" s="21">
        <f>INDEX('[2]Cross-Section Database'!$C$2:$V$2928,MATCH(AD275,'[2]Cross-Section Database'!$B$2:$B$2928,0),3)</f>
        <v>200</v>
      </c>
      <c r="AF275" s="21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1" t="s">
        <v>4600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1754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1" t="s">
        <v>5658</v>
      </c>
      <c r="AX275" s="310" t="s">
        <v>4604</v>
      </c>
      <c r="AY275" s="310">
        <f t="shared" si="150"/>
        <v>60</v>
      </c>
      <c r="AZ275" s="310">
        <v>20</v>
      </c>
      <c r="BA275" s="310">
        <f t="shared" si="135"/>
        <v>245</v>
      </c>
      <c r="BB275" s="21">
        <v>85</v>
      </c>
      <c r="BC275" s="21">
        <f t="shared" si="151"/>
        <v>85</v>
      </c>
      <c r="BD275" s="21">
        <v>0</v>
      </c>
      <c r="BE275" s="21">
        <v>100</v>
      </c>
      <c r="BF275" s="21">
        <f t="shared" si="152"/>
        <v>130</v>
      </c>
      <c r="BG275" s="15" t="s">
        <v>4470</v>
      </c>
      <c r="BH275" s="310" t="s">
        <v>6204</v>
      </c>
      <c r="BI275" s="310" t="s">
        <v>6204</v>
      </c>
      <c r="BJ275" s="310">
        <v>2</v>
      </c>
      <c r="BK275" s="310">
        <v>4</v>
      </c>
      <c r="BL275" s="301">
        <v>120</v>
      </c>
      <c r="BM275" s="310">
        <v>515</v>
      </c>
      <c r="BN275" s="310" t="s">
        <v>6189</v>
      </c>
      <c r="BO275" s="310">
        <v>1</v>
      </c>
      <c r="BP275" s="310">
        <v>180</v>
      </c>
      <c r="BQ275" s="310">
        <v>1678</v>
      </c>
      <c r="BR275" s="310">
        <v>52</v>
      </c>
      <c r="BS275" s="310" t="s">
        <v>4589</v>
      </c>
      <c r="BT275" s="301" t="s">
        <v>5855</v>
      </c>
      <c r="BU275" s="310">
        <v>8</v>
      </c>
      <c r="BV275" s="310">
        <v>1</v>
      </c>
      <c r="BW275" s="310">
        <v>19</v>
      </c>
      <c r="BX275" s="310">
        <v>100</v>
      </c>
      <c r="BY275" s="310">
        <v>100</v>
      </c>
      <c r="BZ275" s="18">
        <v>160</v>
      </c>
      <c r="CA275" s="310" t="s">
        <v>4605</v>
      </c>
      <c r="CB275" s="310" t="s">
        <v>4601</v>
      </c>
      <c r="CC275" s="21">
        <f>((BM275/150)+1)*PI()*12^2/4</f>
        <v>501.39818751293103</v>
      </c>
      <c r="CD275" s="21">
        <f>6*PI()*16^2/4</f>
        <v>1206.3715789784806</v>
      </c>
      <c r="CE275" s="310">
        <v>20</v>
      </c>
      <c r="CF275" s="119">
        <f t="shared" si="154"/>
        <v>3.4448074785222174E-2</v>
      </c>
      <c r="CG275" s="106" t="s">
        <v>5663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5663</v>
      </c>
      <c r="CN275" s="59">
        <v>300</v>
      </c>
      <c r="CO275" s="310">
        <v>372</v>
      </c>
      <c r="CP275" s="59">
        <v>505</v>
      </c>
      <c r="CQ275" s="21">
        <v>524.5</v>
      </c>
      <c r="CR275" s="68">
        <v>200000</v>
      </c>
      <c r="CS275" s="106" t="s">
        <v>5663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5666</v>
      </c>
      <c r="CZ275" s="21">
        <v>17.5</v>
      </c>
      <c r="DA275" s="21">
        <v>1.7</v>
      </c>
      <c r="DB275" s="66">
        <v>29000</v>
      </c>
      <c r="DC275" s="301">
        <v>596</v>
      </c>
      <c r="DD275" s="310">
        <v>683</v>
      </c>
      <c r="DE275" s="66">
        <v>200000</v>
      </c>
      <c r="DF275" s="295">
        <v>550</v>
      </c>
      <c r="DG275" s="310">
        <v>8.8000000000000007</v>
      </c>
      <c r="DH275" s="310">
        <v>640</v>
      </c>
      <c r="DI275" s="310">
        <v>984</v>
      </c>
      <c r="DJ275" s="310">
        <v>800</v>
      </c>
      <c r="DK275" s="310">
        <v>1040</v>
      </c>
      <c r="DL275" s="66">
        <v>200000</v>
      </c>
      <c r="DM275" s="40" t="s">
        <v>6043</v>
      </c>
      <c r="DN275" s="310" t="s">
        <v>4560</v>
      </c>
      <c r="DO275" s="306" t="s">
        <v>6150</v>
      </c>
    </row>
    <row r="276" spans="1:119" ht="15.6" customHeight="1" thickBot="1">
      <c r="A276" s="301">
        <v>271</v>
      </c>
      <c r="B276" s="380"/>
      <c r="C276" s="380"/>
      <c r="D276" s="360"/>
      <c r="E276" s="360"/>
      <c r="F276" s="349"/>
      <c r="G276" s="349"/>
      <c r="H276" s="349"/>
      <c r="I276" s="349"/>
      <c r="J276" s="286" t="s">
        <v>4602</v>
      </c>
      <c r="K276" s="301" t="s">
        <v>4383</v>
      </c>
      <c r="L276" s="310" t="s">
        <v>5791</v>
      </c>
      <c r="M276" s="301" t="s">
        <v>4507</v>
      </c>
      <c r="N276" s="310" t="s">
        <v>4700</v>
      </c>
      <c r="O276" s="18" t="s">
        <v>4506</v>
      </c>
      <c r="P276" s="310" t="s">
        <v>4420</v>
      </c>
      <c r="Q276" s="310" t="s">
        <v>4470</v>
      </c>
      <c r="R276" s="310" t="s">
        <v>4420</v>
      </c>
      <c r="S276" s="310" t="s">
        <v>5791</v>
      </c>
      <c r="T276" s="59" t="s">
        <v>4420</v>
      </c>
      <c r="U276" s="59" t="s">
        <v>5791</v>
      </c>
      <c r="V276" s="59" t="s">
        <v>4420</v>
      </c>
      <c r="W276" s="59" t="s">
        <v>5791</v>
      </c>
      <c r="X276" s="310" t="s">
        <v>4420</v>
      </c>
      <c r="Y276" s="310" t="s">
        <v>5791</v>
      </c>
      <c r="Z276" s="310" t="s">
        <v>6089</v>
      </c>
      <c r="AA276" s="18">
        <v>8</v>
      </c>
      <c r="AB276" s="223">
        <v>0</v>
      </c>
      <c r="AC276" s="18">
        <v>0</v>
      </c>
      <c r="AD276" s="301" t="s">
        <v>5491</v>
      </c>
      <c r="AE276" s="21">
        <f>INDEX('[2]Cross-Section Database'!$C$2:$V$2928,MATCH(AD276,'[2]Cross-Section Database'!$B$2:$B$2928,0),3)</f>
        <v>200</v>
      </c>
      <c r="AF276" s="21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1" t="s">
        <v>4600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1755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1" t="s">
        <v>5658</v>
      </c>
      <c r="AX276" s="310" t="s">
        <v>4604</v>
      </c>
      <c r="AY276" s="310">
        <f t="shared" si="150"/>
        <v>60</v>
      </c>
      <c r="AZ276" s="310">
        <v>20</v>
      </c>
      <c r="BA276" s="310">
        <f t="shared" si="135"/>
        <v>245</v>
      </c>
      <c r="BB276" s="21">
        <v>85</v>
      </c>
      <c r="BC276" s="21">
        <f t="shared" si="151"/>
        <v>85</v>
      </c>
      <c r="BD276" s="21">
        <v>0</v>
      </c>
      <c r="BE276" s="21">
        <v>100</v>
      </c>
      <c r="BF276" s="21">
        <f t="shared" si="152"/>
        <v>130</v>
      </c>
      <c r="BG276" s="15" t="s">
        <v>4470</v>
      </c>
      <c r="BH276" s="310" t="s">
        <v>6204</v>
      </c>
      <c r="BI276" s="310" t="s">
        <v>6204</v>
      </c>
      <c r="BJ276" s="310">
        <v>2</v>
      </c>
      <c r="BK276" s="310">
        <v>4</v>
      </c>
      <c r="BL276" s="196" t="s">
        <v>5791</v>
      </c>
      <c r="BM276" s="197" t="s">
        <v>5791</v>
      </c>
      <c r="BN276" s="197" t="s">
        <v>5791</v>
      </c>
      <c r="BO276" s="197" t="s">
        <v>5791</v>
      </c>
      <c r="BP276" s="197" t="s">
        <v>5791</v>
      </c>
      <c r="BQ276" s="197" t="s">
        <v>5791</v>
      </c>
      <c r="BR276" s="197" t="s">
        <v>5791</v>
      </c>
      <c r="BS276" s="197" t="s">
        <v>5791</v>
      </c>
      <c r="BT276" s="196" t="s">
        <v>5791</v>
      </c>
      <c r="BU276" s="197" t="s">
        <v>5791</v>
      </c>
      <c r="BV276" s="197" t="s">
        <v>5791</v>
      </c>
      <c r="BW276" s="197" t="s">
        <v>5791</v>
      </c>
      <c r="BX276" s="197" t="s">
        <v>5791</v>
      </c>
      <c r="BY276" s="197" t="s">
        <v>5791</v>
      </c>
      <c r="BZ276" s="212" t="s">
        <v>5791</v>
      </c>
      <c r="CA276" s="197" t="s">
        <v>5791</v>
      </c>
      <c r="CB276" s="197" t="s">
        <v>5791</v>
      </c>
      <c r="CC276" s="197" t="s">
        <v>5791</v>
      </c>
      <c r="CD276" s="197" t="s">
        <v>5791</v>
      </c>
      <c r="CE276" s="197" t="s">
        <v>5791</v>
      </c>
      <c r="CF276" s="212" t="s">
        <v>5791</v>
      </c>
      <c r="CG276" s="106" t="s">
        <v>5663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5663</v>
      </c>
      <c r="CN276" s="59">
        <v>300</v>
      </c>
      <c r="CO276" s="310">
        <v>372</v>
      </c>
      <c r="CP276" s="59">
        <v>505</v>
      </c>
      <c r="CQ276" s="21">
        <v>524.5</v>
      </c>
      <c r="CR276" s="68">
        <v>200000</v>
      </c>
      <c r="CS276" s="106" t="s">
        <v>5663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201" t="s">
        <v>5791</v>
      </c>
      <c r="CZ276" s="211" t="s">
        <v>5791</v>
      </c>
      <c r="DA276" s="211" t="s">
        <v>5791</v>
      </c>
      <c r="DB276" s="203" t="s">
        <v>5791</v>
      </c>
      <c r="DC276" s="201" t="s">
        <v>5791</v>
      </c>
      <c r="DD276" s="202" t="s">
        <v>5791</v>
      </c>
      <c r="DE276" s="203" t="s">
        <v>5791</v>
      </c>
      <c r="DF276" s="274" t="s">
        <v>5791</v>
      </c>
      <c r="DG276" s="310">
        <v>8.8000000000000007</v>
      </c>
      <c r="DH276" s="310">
        <v>640</v>
      </c>
      <c r="DI276" s="310">
        <v>984</v>
      </c>
      <c r="DJ276" s="310">
        <v>800</v>
      </c>
      <c r="DK276" s="310">
        <v>1040</v>
      </c>
      <c r="DL276" s="66">
        <v>200000</v>
      </c>
      <c r="DM276" s="40" t="s">
        <v>6044</v>
      </c>
      <c r="DN276" s="310" t="s">
        <v>4560</v>
      </c>
      <c r="DO276" s="306" t="s">
        <v>4565</v>
      </c>
    </row>
    <row r="277" spans="1:119" ht="15.6" customHeight="1">
      <c r="A277" s="300">
        <v>272</v>
      </c>
      <c r="B277" s="348">
        <v>38</v>
      </c>
      <c r="C277" s="348">
        <v>2007</v>
      </c>
      <c r="D277" s="458" t="s">
        <v>5993</v>
      </c>
      <c r="E277" s="373" t="s">
        <v>4874</v>
      </c>
      <c r="F277" s="348">
        <v>2</v>
      </c>
      <c r="G277" s="368" t="s">
        <v>5920</v>
      </c>
      <c r="H277" s="368" t="s">
        <v>5919</v>
      </c>
      <c r="I277" s="368" t="s">
        <v>6243</v>
      </c>
      <c r="J277" s="290" t="s">
        <v>4742</v>
      </c>
      <c r="K277" s="300" t="s">
        <v>6320</v>
      </c>
      <c r="L277" s="309" t="s">
        <v>5791</v>
      </c>
      <c r="M277" s="300" t="s">
        <v>4508</v>
      </c>
      <c r="N277" s="309" t="s">
        <v>4702</v>
      </c>
      <c r="O277" s="17" t="s">
        <v>4506</v>
      </c>
      <c r="P277" s="309" t="s">
        <v>6317</v>
      </c>
      <c r="Q277" s="309" t="s">
        <v>4420</v>
      </c>
      <c r="R277" s="309" t="s">
        <v>6164</v>
      </c>
      <c r="S277" s="309">
        <v>12</v>
      </c>
      <c r="T277" s="64" t="s">
        <v>4420</v>
      </c>
      <c r="U277" s="64" t="s">
        <v>5791</v>
      </c>
      <c r="V277" s="64" t="s">
        <v>4420</v>
      </c>
      <c r="W277" s="64" t="s">
        <v>5791</v>
      </c>
      <c r="X277" s="309" t="s">
        <v>4420</v>
      </c>
      <c r="Y277" s="309" t="s">
        <v>5791</v>
      </c>
      <c r="Z277" s="309" t="s">
        <v>4559</v>
      </c>
      <c r="AA277" s="89">
        <v>0</v>
      </c>
      <c r="AB277" s="232">
        <v>0</v>
      </c>
      <c r="AC277" s="17">
        <v>485</v>
      </c>
      <c r="AD277" s="300" t="s">
        <v>6199</v>
      </c>
      <c r="AE277" s="16">
        <v>294</v>
      </c>
      <c r="AF277" s="16">
        <v>250</v>
      </c>
      <c r="AG277" s="279">
        <v>25</v>
      </c>
      <c r="AH277" s="16">
        <v>8</v>
      </c>
      <c r="AI277" s="16">
        <v>1200</v>
      </c>
      <c r="AJ277" s="300" t="s">
        <v>6338</v>
      </c>
      <c r="AK277" s="16">
        <f>INDEX('[2]Cross-Section Database'!$C$2:$V$2928,MATCH(AJ277,'[2]Cross-Section Database'!$B$2:$B$2928,0),3)</f>
        <v>294</v>
      </c>
      <c r="AL277" s="16">
        <f>INDEX('[2]Cross-Section Database'!$C$2:$V$2928,MATCH(AJ277,'[2]Cross-Section Database'!$B$2:$B$2928,0),4)</f>
        <v>200</v>
      </c>
      <c r="AM277" s="16">
        <f>INDEX('[2]Cross-Section Database'!$C$2:$V$2928,MATCH(AJ277,'[2]Cross-Section Database'!$B$2:$B$2928,0),6)</f>
        <v>12</v>
      </c>
      <c r="AN277" s="16">
        <f>INDEX('[2]Cross-Section Database'!$C$2:$V$2928,MATCH(AJ277,'[2]Cross-Section Database'!$B$2:$B$2928,0),5)</f>
        <v>8</v>
      </c>
      <c r="AO277" s="16">
        <v>1000</v>
      </c>
      <c r="AP277" s="16">
        <f>INDEX('[2]Cross-Section Database'!$C$2:$V$3928,MATCH(AJ277,'[2]Cross-Section Database'!$B$2:$B$3928,0),11)</f>
        <v>111000000</v>
      </c>
      <c r="AQ277" s="26">
        <f>INDEX('[2]Cross-Section Database'!$C$2:$V$3928,MATCH(AJ277,'[2]Cross-Section Database'!$B$2:$B$3928,0),12)</f>
        <v>842000</v>
      </c>
      <c r="AR277" s="16">
        <v>20</v>
      </c>
      <c r="AS277" s="16">
        <v>200</v>
      </c>
      <c r="AT277" s="16">
        <v>320</v>
      </c>
      <c r="AU277" s="16">
        <f>(AT277-AK277)-AV277</f>
        <v>13</v>
      </c>
      <c r="AV277" s="16">
        <f>(AT277-AK277)/2</f>
        <v>13</v>
      </c>
      <c r="AW277" s="300" t="s">
        <v>5806</v>
      </c>
      <c r="AX277" s="309" t="s">
        <v>6129</v>
      </c>
      <c r="AY277" s="16" t="s">
        <v>6129</v>
      </c>
      <c r="AZ277" s="309">
        <v>20</v>
      </c>
      <c r="BA277" s="309">
        <f t="shared" si="135"/>
        <v>245</v>
      </c>
      <c r="BB277" s="16">
        <v>72</v>
      </c>
      <c r="BC277" s="16">
        <v>72</v>
      </c>
      <c r="BD277" s="16">
        <v>88</v>
      </c>
      <c r="BE277" s="16">
        <v>108</v>
      </c>
      <c r="BF277" s="16">
        <v>0</v>
      </c>
      <c r="BG277" s="22" t="s">
        <v>4470</v>
      </c>
      <c r="BH277" s="309" t="s">
        <v>6204</v>
      </c>
      <c r="BI277" s="309" t="s">
        <v>6204</v>
      </c>
      <c r="BJ277" s="309">
        <v>4</v>
      </c>
      <c r="BK277" s="17">
        <v>6</v>
      </c>
      <c r="BL277" s="194" t="s">
        <v>5791</v>
      </c>
      <c r="BM277" s="195" t="s">
        <v>5791</v>
      </c>
      <c r="BN277" s="195" t="s">
        <v>5791</v>
      </c>
      <c r="BO277" s="195" t="s">
        <v>5791</v>
      </c>
      <c r="BP277" s="195" t="s">
        <v>5791</v>
      </c>
      <c r="BQ277" s="195" t="s">
        <v>5791</v>
      </c>
      <c r="BR277" s="195" t="s">
        <v>5791</v>
      </c>
      <c r="BS277" s="195" t="s">
        <v>5791</v>
      </c>
      <c r="BT277" s="194" t="s">
        <v>5791</v>
      </c>
      <c r="BU277" s="195" t="s">
        <v>5791</v>
      </c>
      <c r="BV277" s="195" t="s">
        <v>5791</v>
      </c>
      <c r="BW277" s="195" t="s">
        <v>5791</v>
      </c>
      <c r="BX277" s="195" t="s">
        <v>5791</v>
      </c>
      <c r="BY277" s="195" t="s">
        <v>5791</v>
      </c>
      <c r="BZ277" s="213" t="s">
        <v>5791</v>
      </c>
      <c r="CA277" s="195" t="s">
        <v>5791</v>
      </c>
      <c r="CB277" s="195" t="s">
        <v>5791</v>
      </c>
      <c r="CC277" s="195" t="s">
        <v>5791</v>
      </c>
      <c r="CD277" s="195" t="s">
        <v>5791</v>
      </c>
      <c r="CE277" s="195" t="s">
        <v>5791</v>
      </c>
      <c r="CF277" s="213" t="s">
        <v>5791</v>
      </c>
      <c r="CG277" s="309" t="s">
        <v>6339</v>
      </c>
      <c r="CH277" s="309">
        <v>345</v>
      </c>
      <c r="CI277" s="12">
        <v>409</v>
      </c>
      <c r="CJ277" s="188">
        <v>490</v>
      </c>
      <c r="CK277" s="39">
        <v>536.6</v>
      </c>
      <c r="CL277" s="79">
        <v>192061.5</v>
      </c>
      <c r="CM277" s="300" t="s">
        <v>6339</v>
      </c>
      <c r="CN277" s="64">
        <v>345</v>
      </c>
      <c r="CO277" s="16">
        <v>409</v>
      </c>
      <c r="CP277" s="64">
        <v>490</v>
      </c>
      <c r="CQ277" s="16">
        <v>536.6</v>
      </c>
      <c r="CR277" s="80">
        <v>192061.5</v>
      </c>
      <c r="CS277" s="300" t="s">
        <v>6339</v>
      </c>
      <c r="CT277" s="309">
        <v>345</v>
      </c>
      <c r="CU277" s="16">
        <v>372.6</v>
      </c>
      <c r="CV277" s="309">
        <v>490</v>
      </c>
      <c r="CW277" s="16">
        <v>537</v>
      </c>
      <c r="CX277" s="80">
        <v>188671</v>
      </c>
      <c r="CY277" s="198" t="s">
        <v>5791</v>
      </c>
      <c r="CZ277" s="199" t="s">
        <v>5791</v>
      </c>
      <c r="DA277" s="199" t="s">
        <v>5791</v>
      </c>
      <c r="DB277" s="200" t="s">
        <v>5791</v>
      </c>
      <c r="DC277" s="198" t="s">
        <v>5791</v>
      </c>
      <c r="DD277" s="199" t="s">
        <v>5791</v>
      </c>
      <c r="DE277" s="200" t="s">
        <v>5791</v>
      </c>
      <c r="DF277" s="273" t="s">
        <v>5791</v>
      </c>
      <c r="DG277" s="309">
        <v>10.9</v>
      </c>
      <c r="DH277" s="309">
        <v>900</v>
      </c>
      <c r="DI277" s="309">
        <v>995</v>
      </c>
      <c r="DJ277" s="309">
        <v>1000</v>
      </c>
      <c r="DK277" s="309">
        <v>1161</v>
      </c>
      <c r="DL277" s="93">
        <v>206000</v>
      </c>
      <c r="DM277" s="28" t="s">
        <v>5831</v>
      </c>
      <c r="DN277" s="309" t="s">
        <v>4435</v>
      </c>
      <c r="DO277" s="305" t="s">
        <v>4565</v>
      </c>
    </row>
    <row r="278" spans="1:119" ht="15.6" customHeight="1" thickBot="1">
      <c r="A278" s="301">
        <v>273</v>
      </c>
      <c r="B278" s="350"/>
      <c r="C278" s="350"/>
      <c r="D278" s="460"/>
      <c r="E278" s="375"/>
      <c r="F278" s="350"/>
      <c r="G278" s="370"/>
      <c r="H278" s="370"/>
      <c r="I278" s="370"/>
      <c r="J278" s="292" t="s">
        <v>4743</v>
      </c>
      <c r="K278" s="301" t="s">
        <v>6324</v>
      </c>
      <c r="L278" s="310" t="s">
        <v>6057</v>
      </c>
      <c r="M278" s="301" t="s">
        <v>4508</v>
      </c>
      <c r="N278" s="310" t="s">
        <v>4702</v>
      </c>
      <c r="O278" s="18" t="s">
        <v>4506</v>
      </c>
      <c r="P278" s="310" t="s">
        <v>6317</v>
      </c>
      <c r="Q278" s="310" t="s">
        <v>4420</v>
      </c>
      <c r="R278" s="310" t="s">
        <v>6164</v>
      </c>
      <c r="S278" s="310">
        <v>12</v>
      </c>
      <c r="T278" s="59" t="s">
        <v>4420</v>
      </c>
      <c r="U278" s="59" t="s">
        <v>5791</v>
      </c>
      <c r="V278" s="59" t="s">
        <v>4420</v>
      </c>
      <c r="W278" s="59" t="s">
        <v>5791</v>
      </c>
      <c r="X278" s="310" t="s">
        <v>4420</v>
      </c>
      <c r="Y278" s="310" t="s">
        <v>5791</v>
      </c>
      <c r="Z278" s="310" t="s">
        <v>4559</v>
      </c>
      <c r="AA278" s="88">
        <v>0</v>
      </c>
      <c r="AB278" s="223">
        <v>0</v>
      </c>
      <c r="AC278" s="18">
        <v>485</v>
      </c>
      <c r="AD278" s="308" t="s">
        <v>6199</v>
      </c>
      <c r="AE278" s="21">
        <v>294</v>
      </c>
      <c r="AF278" s="21">
        <v>250</v>
      </c>
      <c r="AG278" s="280">
        <v>25</v>
      </c>
      <c r="AH278" s="21">
        <v>8</v>
      </c>
      <c r="AI278" s="23">
        <v>1200</v>
      </c>
      <c r="AJ278" s="308" t="s">
        <v>4710</v>
      </c>
      <c r="AK278" s="23">
        <f>INDEX('[2]Cross-Section Database'!$C$2:$V$2928,MATCH(AJ278,'[2]Cross-Section Database'!$B$2:$B$2928,0),3)</f>
        <v>294</v>
      </c>
      <c r="AL278" s="23">
        <f>INDEX('[2]Cross-Section Database'!$C$2:$V$2928,MATCH(AJ278,'[2]Cross-Section Database'!$B$2:$B$2928,0),4)</f>
        <v>200</v>
      </c>
      <c r="AM278" s="23">
        <f>INDEX('[2]Cross-Section Database'!$C$2:$V$2928,MATCH(AJ278,'[2]Cross-Section Database'!$B$2:$B$2928,0),6)</f>
        <v>12</v>
      </c>
      <c r="AN278" s="23">
        <f>INDEX('[2]Cross-Section Database'!$C$2:$V$2928,MATCH(AJ278,'[2]Cross-Section Database'!$B$2:$B$2928,0),5)</f>
        <v>8</v>
      </c>
      <c r="AO278" s="23">
        <v>1000</v>
      </c>
      <c r="AP278" s="23">
        <f>INDEX('[2]Cross-Section Database'!$C$2:$V$3928,MATCH(AJ278,'[2]Cross-Section Database'!$B$2:$B$3928,0),11)</f>
        <v>111000000</v>
      </c>
      <c r="AQ278" s="25">
        <f>INDEX('[2]Cross-Section Database'!$C$2:$V$3928,MATCH(AJ278,'[2]Cross-Section Database'!$B$2:$B$3928,0),12)</f>
        <v>842000</v>
      </c>
      <c r="AR278" s="23">
        <v>20</v>
      </c>
      <c r="AS278" s="23">
        <v>200</v>
      </c>
      <c r="AT278" s="23">
        <v>320</v>
      </c>
      <c r="AU278" s="23">
        <f>(AT278-AK278)-AV278</f>
        <v>13</v>
      </c>
      <c r="AV278" s="23">
        <f>(AT278-AK278)/2</f>
        <v>13</v>
      </c>
      <c r="AW278" s="308" t="s">
        <v>5806</v>
      </c>
      <c r="AX278" s="311" t="s">
        <v>4502</v>
      </c>
      <c r="AY278" s="23">
        <v>199</v>
      </c>
      <c r="AZ278" s="311">
        <v>20</v>
      </c>
      <c r="BA278" s="311">
        <f t="shared" si="135"/>
        <v>245</v>
      </c>
      <c r="BB278" s="23">
        <v>72</v>
      </c>
      <c r="BC278" s="23">
        <v>72</v>
      </c>
      <c r="BD278" s="23">
        <v>88</v>
      </c>
      <c r="BE278" s="23">
        <v>108</v>
      </c>
      <c r="BF278" s="23">
        <v>0</v>
      </c>
      <c r="BG278" s="19" t="s">
        <v>4470</v>
      </c>
      <c r="BH278" s="311" t="s">
        <v>6204</v>
      </c>
      <c r="BI278" s="311" t="s">
        <v>6204</v>
      </c>
      <c r="BJ278" s="311">
        <v>4</v>
      </c>
      <c r="BK278" s="14">
        <v>6</v>
      </c>
      <c r="BL278" s="191" t="s">
        <v>5791</v>
      </c>
      <c r="BM278" s="192" t="s">
        <v>5791</v>
      </c>
      <c r="BN278" s="192" t="s">
        <v>5791</v>
      </c>
      <c r="BO278" s="192" t="s">
        <v>5791</v>
      </c>
      <c r="BP278" s="192" t="s">
        <v>5791</v>
      </c>
      <c r="BQ278" s="192" t="s">
        <v>5791</v>
      </c>
      <c r="BR278" s="192" t="s">
        <v>5791</v>
      </c>
      <c r="BS278" s="192" t="s">
        <v>5791</v>
      </c>
      <c r="BT278" s="191" t="s">
        <v>5791</v>
      </c>
      <c r="BU278" s="192" t="s">
        <v>5791</v>
      </c>
      <c r="BV278" s="192" t="s">
        <v>5791</v>
      </c>
      <c r="BW278" s="192" t="s">
        <v>5791</v>
      </c>
      <c r="BX278" s="192" t="s">
        <v>5791</v>
      </c>
      <c r="BY278" s="192" t="s">
        <v>5791</v>
      </c>
      <c r="BZ278" s="214" t="s">
        <v>5791</v>
      </c>
      <c r="CA278" s="192" t="s">
        <v>5791</v>
      </c>
      <c r="CB278" s="192" t="s">
        <v>5791</v>
      </c>
      <c r="CC278" s="192" t="s">
        <v>5791</v>
      </c>
      <c r="CD278" s="192" t="s">
        <v>5791</v>
      </c>
      <c r="CE278" s="192" t="s">
        <v>5791</v>
      </c>
      <c r="CF278" s="214" t="s">
        <v>5791</v>
      </c>
      <c r="CG278" s="311" t="s">
        <v>6339</v>
      </c>
      <c r="CH278" s="311">
        <v>345</v>
      </c>
      <c r="CI278" s="13">
        <v>409</v>
      </c>
      <c r="CJ278" s="73">
        <v>490</v>
      </c>
      <c r="CK278" s="36">
        <v>536.6</v>
      </c>
      <c r="CL278" s="74">
        <v>192061.5</v>
      </c>
      <c r="CM278" s="301" t="s">
        <v>6339</v>
      </c>
      <c r="CN278" s="59">
        <v>345</v>
      </c>
      <c r="CO278" s="21">
        <v>409</v>
      </c>
      <c r="CP278" s="59">
        <v>490</v>
      </c>
      <c r="CQ278" s="21">
        <v>536.6</v>
      </c>
      <c r="CR278" s="68">
        <v>192061.5</v>
      </c>
      <c r="CS278" s="301" t="s">
        <v>6339</v>
      </c>
      <c r="CT278" s="310">
        <v>345</v>
      </c>
      <c r="CU278" s="21">
        <v>372.6</v>
      </c>
      <c r="CV278" s="310">
        <v>490</v>
      </c>
      <c r="CW278" s="21">
        <v>537</v>
      </c>
      <c r="CX278" s="68">
        <v>188671</v>
      </c>
      <c r="CY278" s="204" t="s">
        <v>5791</v>
      </c>
      <c r="CZ278" s="205" t="s">
        <v>5791</v>
      </c>
      <c r="DA278" s="205" t="s">
        <v>5791</v>
      </c>
      <c r="DB278" s="206" t="s">
        <v>5791</v>
      </c>
      <c r="DC278" s="204" t="s">
        <v>5791</v>
      </c>
      <c r="DD278" s="205" t="s">
        <v>5791</v>
      </c>
      <c r="DE278" s="206" t="s">
        <v>5791</v>
      </c>
      <c r="DF278" s="275" t="s">
        <v>5791</v>
      </c>
      <c r="DG278" s="311">
        <v>10.9</v>
      </c>
      <c r="DH278" s="311">
        <v>900</v>
      </c>
      <c r="DI278" s="311">
        <v>995</v>
      </c>
      <c r="DJ278" s="311">
        <v>1000</v>
      </c>
      <c r="DK278" s="311">
        <v>1161</v>
      </c>
      <c r="DL278" s="96">
        <v>206000</v>
      </c>
      <c r="DM278" s="27" t="s">
        <v>5837</v>
      </c>
      <c r="DN278" s="310" t="s">
        <v>4435</v>
      </c>
      <c r="DO278" s="306" t="s">
        <v>4565</v>
      </c>
    </row>
    <row r="279" spans="1:119" ht="15.6" customHeight="1">
      <c r="A279" s="300">
        <v>274</v>
      </c>
      <c r="B279" s="348">
        <v>39</v>
      </c>
      <c r="C279" s="348">
        <v>2007</v>
      </c>
      <c r="D279" s="458" t="s">
        <v>5994</v>
      </c>
      <c r="E279" s="373" t="s">
        <v>4873</v>
      </c>
      <c r="F279" s="348">
        <v>3</v>
      </c>
      <c r="G279" s="368" t="s">
        <v>5921</v>
      </c>
      <c r="H279" s="368" t="s">
        <v>5919</v>
      </c>
      <c r="I279" s="368" t="s">
        <v>6244</v>
      </c>
      <c r="J279" s="284" t="s">
        <v>4621</v>
      </c>
      <c r="K279" s="300" t="s">
        <v>6324</v>
      </c>
      <c r="L279" s="309" t="s">
        <v>6057</v>
      </c>
      <c r="M279" s="300" t="s">
        <v>4507</v>
      </c>
      <c r="N279" s="309" t="s">
        <v>4699</v>
      </c>
      <c r="O279" s="17" t="s">
        <v>4506</v>
      </c>
      <c r="P279" s="309" t="s">
        <v>4420</v>
      </c>
      <c r="Q279" s="309" t="s">
        <v>4420</v>
      </c>
      <c r="R279" s="309" t="s">
        <v>4420</v>
      </c>
      <c r="S279" s="309" t="s">
        <v>5791</v>
      </c>
      <c r="T279" s="64" t="s">
        <v>4420</v>
      </c>
      <c r="U279" s="64" t="s">
        <v>5791</v>
      </c>
      <c r="V279" s="64" t="s">
        <v>4420</v>
      </c>
      <c r="W279" s="64" t="s">
        <v>5791</v>
      </c>
      <c r="X279" s="309" t="s">
        <v>4420</v>
      </c>
      <c r="Y279" s="309" t="s">
        <v>5791</v>
      </c>
      <c r="Z279" s="30" t="s">
        <v>4558</v>
      </c>
      <c r="AA279" s="87">
        <v>6</v>
      </c>
      <c r="AB279" s="232">
        <v>0</v>
      </c>
      <c r="AC279" s="17">
        <v>0</v>
      </c>
      <c r="AD279" s="300" t="s">
        <v>4744</v>
      </c>
      <c r="AE279" s="16">
        <f>INDEX('[2]Cross-Section Database'!$C$2:$V$2928,MATCH(AD279,'[2]Cross-Section Database'!$B$2:$B$2928,0),3)</f>
        <v>200</v>
      </c>
      <c r="AF279" s="16">
        <f>INDEX('[2]Cross-Section Database'!$C$2:$V$2928,MATCH(AD279,'[2]Cross-Section Database'!$B$2:$B$2928,0),4)</f>
        <v>200</v>
      </c>
      <c r="AG279" s="16">
        <f>INDEX('[2]Cross-Section Database'!$C$2:$V$2928,MATCH(AD279,'[2]Cross-Section Database'!$B$2:$B$2928,0),6)</f>
        <v>12</v>
      </c>
      <c r="AH279" s="16">
        <f>INDEX('[2]Cross-Section Database'!$C$2:$V$2928,MATCH(AD279,'[2]Cross-Section Database'!$B$2:$B$2928,0),5)</f>
        <v>8</v>
      </c>
      <c r="AI279" s="31">
        <v>3000</v>
      </c>
      <c r="AJ279" s="300" t="s">
        <v>4745</v>
      </c>
      <c r="AK279" s="16">
        <v>300</v>
      </c>
      <c r="AL279" s="16">
        <v>150</v>
      </c>
      <c r="AM279" s="16">
        <v>10</v>
      </c>
      <c r="AN279" s="16">
        <v>6</v>
      </c>
      <c r="AO279" s="16">
        <v>1479</v>
      </c>
      <c r="AP279" s="16">
        <f>AL279*AK279^3/12-(AL279-AN279)*(AK279-2*AM279)^3/12</f>
        <v>74076000</v>
      </c>
      <c r="AQ279" s="24">
        <f>AL279*AK279^2/4-(AL279-AN279)*(AK279-2*AM279)^2/4</f>
        <v>552600</v>
      </c>
      <c r="AR279" s="16">
        <v>10</v>
      </c>
      <c r="AS279" s="16">
        <v>150</v>
      </c>
      <c r="AT279" s="16">
        <v>300</v>
      </c>
      <c r="AU279" s="16">
        <f>(AT279-AK279)-AV279</f>
        <v>0</v>
      </c>
      <c r="AV279" s="16">
        <f>(AT279-AK279)/2</f>
        <v>0</v>
      </c>
      <c r="AW279" s="300" t="s">
        <v>5806</v>
      </c>
      <c r="AX279" s="309" t="s">
        <v>6129</v>
      </c>
      <c r="AY279" s="309" t="s">
        <v>6129</v>
      </c>
      <c r="AZ279" s="309">
        <v>20</v>
      </c>
      <c r="BA279" s="309">
        <f t="shared" si="135"/>
        <v>245</v>
      </c>
      <c r="BB279" s="31">
        <v>45</v>
      </c>
      <c r="BC279" s="31">
        <v>45</v>
      </c>
      <c r="BD279" s="16">
        <v>70</v>
      </c>
      <c r="BE279" s="16">
        <v>90</v>
      </c>
      <c r="BF279" s="16">
        <v>70</v>
      </c>
      <c r="BG279" s="22" t="s">
        <v>6317</v>
      </c>
      <c r="BH279" s="309" t="s">
        <v>4465</v>
      </c>
      <c r="BI279" s="309" t="s">
        <v>4465</v>
      </c>
      <c r="BJ279" s="309">
        <v>4</v>
      </c>
      <c r="BK279" s="17">
        <v>8</v>
      </c>
      <c r="BL279" s="194" t="s">
        <v>5791</v>
      </c>
      <c r="BM279" s="195" t="s">
        <v>5791</v>
      </c>
      <c r="BN279" s="195" t="s">
        <v>5791</v>
      </c>
      <c r="BO279" s="195" t="s">
        <v>5791</v>
      </c>
      <c r="BP279" s="195" t="s">
        <v>5791</v>
      </c>
      <c r="BQ279" s="195" t="s">
        <v>5791</v>
      </c>
      <c r="BR279" s="195" t="s">
        <v>5791</v>
      </c>
      <c r="BS279" s="195" t="s">
        <v>5791</v>
      </c>
      <c r="BT279" s="194" t="s">
        <v>5791</v>
      </c>
      <c r="BU279" s="195" t="s">
        <v>5791</v>
      </c>
      <c r="BV279" s="195" t="s">
        <v>5791</v>
      </c>
      <c r="BW279" s="195" t="s">
        <v>5791</v>
      </c>
      <c r="BX279" s="195" t="s">
        <v>5791</v>
      </c>
      <c r="BY279" s="195" t="s">
        <v>5791</v>
      </c>
      <c r="BZ279" s="213" t="s">
        <v>5791</v>
      </c>
      <c r="CA279" s="195" t="s">
        <v>5791</v>
      </c>
      <c r="CB279" s="195" t="s">
        <v>5791</v>
      </c>
      <c r="CC279" s="195" t="s">
        <v>5791</v>
      </c>
      <c r="CD279" s="195" t="s">
        <v>5791</v>
      </c>
      <c r="CE279" s="195" t="s">
        <v>5791</v>
      </c>
      <c r="CF279" s="218" t="s">
        <v>5791</v>
      </c>
      <c r="CG279" s="300" t="s">
        <v>6339</v>
      </c>
      <c r="CH279" s="309">
        <v>345</v>
      </c>
      <c r="CI279" s="16">
        <v>406.45</v>
      </c>
      <c r="CJ279" s="188">
        <v>490</v>
      </c>
      <c r="CK279" s="16">
        <v>495.23329999999999</v>
      </c>
      <c r="CL279" s="80">
        <v>210000</v>
      </c>
      <c r="CM279" s="300" t="s">
        <v>6339</v>
      </c>
      <c r="CN279" s="64">
        <v>345</v>
      </c>
      <c r="CO279" s="16">
        <v>407.05</v>
      </c>
      <c r="CP279" s="64">
        <v>490</v>
      </c>
      <c r="CQ279" s="16">
        <v>533.63329999999996</v>
      </c>
      <c r="CR279" s="80">
        <v>206667</v>
      </c>
      <c r="CS279" s="300" t="s">
        <v>6339</v>
      </c>
      <c r="CT279" s="309">
        <v>345</v>
      </c>
      <c r="CU279" s="16">
        <v>418.73329999999999</v>
      </c>
      <c r="CV279" s="309">
        <v>490</v>
      </c>
      <c r="CW279" s="16">
        <v>502.9667</v>
      </c>
      <c r="CX279" s="80">
        <v>212333</v>
      </c>
      <c r="CY279" s="198" t="s">
        <v>5791</v>
      </c>
      <c r="CZ279" s="199" t="s">
        <v>5791</v>
      </c>
      <c r="DA279" s="199" t="s">
        <v>5791</v>
      </c>
      <c r="DB279" s="200" t="s">
        <v>5791</v>
      </c>
      <c r="DC279" s="199" t="s">
        <v>5791</v>
      </c>
      <c r="DD279" s="199" t="s">
        <v>5791</v>
      </c>
      <c r="DE279" s="200" t="s">
        <v>5791</v>
      </c>
      <c r="DF279" s="273" t="s">
        <v>5791</v>
      </c>
      <c r="DG279" s="309">
        <v>10.9</v>
      </c>
      <c r="DH279" s="302">
        <v>900</v>
      </c>
      <c r="DI279" s="30">
        <v>990</v>
      </c>
      <c r="DJ279" s="302">
        <v>1000</v>
      </c>
      <c r="DK279" s="30">
        <v>1100</v>
      </c>
      <c r="DL279" s="65">
        <v>200000</v>
      </c>
      <c r="DM279" s="28" t="s">
        <v>6010</v>
      </c>
      <c r="DN279" s="309" t="s">
        <v>4435</v>
      </c>
      <c r="DO279" s="305" t="s">
        <v>4565</v>
      </c>
    </row>
    <row r="280" spans="1:119">
      <c r="A280" s="301">
        <v>275</v>
      </c>
      <c r="B280" s="349"/>
      <c r="C280" s="349"/>
      <c r="D280" s="459"/>
      <c r="E280" s="374"/>
      <c r="F280" s="349"/>
      <c r="G280" s="369"/>
      <c r="H280" s="369"/>
      <c r="I280" s="369"/>
      <c r="J280" s="286" t="s">
        <v>4597</v>
      </c>
      <c r="K280" s="301" t="s">
        <v>6324</v>
      </c>
      <c r="L280" s="310" t="s">
        <v>6057</v>
      </c>
      <c r="M280" s="301" t="s">
        <v>4507</v>
      </c>
      <c r="N280" s="310" t="s">
        <v>4699</v>
      </c>
      <c r="O280" s="18" t="s">
        <v>4506</v>
      </c>
      <c r="P280" s="310" t="s">
        <v>4470</v>
      </c>
      <c r="Q280" s="310" t="s">
        <v>4420</v>
      </c>
      <c r="R280" s="310" t="s">
        <v>6164</v>
      </c>
      <c r="S280" s="310">
        <v>10</v>
      </c>
      <c r="T280" s="59" t="s">
        <v>4420</v>
      </c>
      <c r="U280" s="59" t="s">
        <v>5791</v>
      </c>
      <c r="V280" s="59" t="s">
        <v>4420</v>
      </c>
      <c r="W280" s="59" t="s">
        <v>5791</v>
      </c>
      <c r="X280" s="310" t="s">
        <v>4420</v>
      </c>
      <c r="Y280" s="310" t="s">
        <v>5791</v>
      </c>
      <c r="Z280" s="32" t="s">
        <v>4558</v>
      </c>
      <c r="AA280" s="72">
        <v>6</v>
      </c>
      <c r="AB280" s="223">
        <v>0</v>
      </c>
      <c r="AC280" s="18">
        <v>0</v>
      </c>
      <c r="AD280" s="301" t="s">
        <v>4744</v>
      </c>
      <c r="AE280" s="21">
        <f>INDEX('[2]Cross-Section Database'!$C$2:$V$2928,MATCH(AD280,'[2]Cross-Section Database'!$B$2:$B$2928,0),3)</f>
        <v>200</v>
      </c>
      <c r="AF280" s="21">
        <f>INDEX('[2]Cross-Section Database'!$C$2:$V$2928,MATCH(AD280,'[2]Cross-Section Database'!$B$2:$B$2928,0),4)</f>
        <v>200</v>
      </c>
      <c r="AG280" s="21">
        <f>INDEX('[2]Cross-Section Database'!$C$2:$V$2928,MATCH(AD280,'[2]Cross-Section Database'!$B$2:$B$2928,0),6)</f>
        <v>12</v>
      </c>
      <c r="AH280" s="21">
        <f>INDEX('[2]Cross-Section Database'!$C$2:$V$2928,MATCH(AD280,'[2]Cross-Section Database'!$B$2:$B$2928,0),5)</f>
        <v>8</v>
      </c>
      <c r="AI280" s="33">
        <v>3000</v>
      </c>
      <c r="AJ280" s="301" t="s">
        <v>4745</v>
      </c>
      <c r="AK280" s="21">
        <v>300</v>
      </c>
      <c r="AL280" s="21">
        <v>150</v>
      </c>
      <c r="AM280" s="21">
        <v>10</v>
      </c>
      <c r="AN280" s="21">
        <v>6</v>
      </c>
      <c r="AO280" s="21">
        <v>1479</v>
      </c>
      <c r="AP280" s="21">
        <f>AL280*AK280^3/12-(AL280-AN280)*(AK280-2*AM280)^3/12</f>
        <v>74076000</v>
      </c>
      <c r="AQ280" s="24">
        <f>AL280*AK280^2/4-(AL280-AN280)*(AK280-2*AM280)^2/4</f>
        <v>552600</v>
      </c>
      <c r="AR280" s="21">
        <v>10</v>
      </c>
      <c r="AS280" s="21">
        <v>150</v>
      </c>
      <c r="AT280" s="21">
        <v>300</v>
      </c>
      <c r="AU280" s="21">
        <f>(AT280-AK280)-AV280</f>
        <v>0</v>
      </c>
      <c r="AV280" s="21">
        <f>(AT280-AK280)/2</f>
        <v>0</v>
      </c>
      <c r="AW280" s="301" t="s">
        <v>5806</v>
      </c>
      <c r="AX280" s="310" t="s">
        <v>6129</v>
      </c>
      <c r="AY280" s="310" t="s">
        <v>6129</v>
      </c>
      <c r="AZ280" s="310">
        <v>20</v>
      </c>
      <c r="BA280" s="310">
        <f t="shared" si="135"/>
        <v>245</v>
      </c>
      <c r="BB280" s="33">
        <v>45</v>
      </c>
      <c r="BC280" s="33">
        <v>45</v>
      </c>
      <c r="BD280" s="21">
        <v>70</v>
      </c>
      <c r="BE280" s="21">
        <v>90</v>
      </c>
      <c r="BF280" s="21">
        <v>70</v>
      </c>
      <c r="BG280" s="15" t="s">
        <v>6317</v>
      </c>
      <c r="BH280" s="310" t="s">
        <v>4465</v>
      </c>
      <c r="BI280" s="310" t="s">
        <v>4465</v>
      </c>
      <c r="BJ280" s="310">
        <v>4</v>
      </c>
      <c r="BK280" s="18">
        <v>8</v>
      </c>
      <c r="BL280" s="301">
        <v>140</v>
      </c>
      <c r="BM280" s="310">
        <v>1200</v>
      </c>
      <c r="BN280" s="310" t="s">
        <v>6190</v>
      </c>
      <c r="BO280" s="310">
        <v>0.8</v>
      </c>
      <c r="BP280" s="310">
        <v>145</v>
      </c>
      <c r="BQ280" s="310">
        <v>983</v>
      </c>
      <c r="BR280" s="310">
        <v>76</v>
      </c>
      <c r="BS280" s="310" t="s">
        <v>4590</v>
      </c>
      <c r="BT280" s="301" t="s">
        <v>5855</v>
      </c>
      <c r="BU280" s="310">
        <v>14</v>
      </c>
      <c r="BV280" s="310">
        <v>2</v>
      </c>
      <c r="BW280" s="32">
        <v>19</v>
      </c>
      <c r="BX280" s="310">
        <v>90</v>
      </c>
      <c r="BY280" s="310">
        <v>200</v>
      </c>
      <c r="BZ280" s="18">
        <v>350</v>
      </c>
      <c r="CA280" s="310" t="s">
        <v>4746</v>
      </c>
      <c r="CB280" s="310" t="s">
        <v>6116</v>
      </c>
      <c r="CC280" s="21">
        <f>((BM280/200)+1)*PI()*6^2/4</f>
        <v>197.92033717615698</v>
      </c>
      <c r="CD280" s="21">
        <f>8*PI()*10^2/4</f>
        <v>628.31853071795865</v>
      </c>
      <c r="CE280" s="310">
        <v>20</v>
      </c>
      <c r="CF280" s="119">
        <v>8.0999999999999996E-3</v>
      </c>
      <c r="CG280" s="301" t="s">
        <v>6339</v>
      </c>
      <c r="CH280" s="310">
        <v>345</v>
      </c>
      <c r="CI280" s="21">
        <v>406.45</v>
      </c>
      <c r="CJ280" s="62">
        <v>490</v>
      </c>
      <c r="CK280" s="21">
        <v>495.23329999999999</v>
      </c>
      <c r="CL280" s="68">
        <v>210000</v>
      </c>
      <c r="CM280" s="301" t="s">
        <v>6339</v>
      </c>
      <c r="CN280" s="59">
        <v>345</v>
      </c>
      <c r="CO280" s="21">
        <v>407.05</v>
      </c>
      <c r="CP280" s="59">
        <v>490</v>
      </c>
      <c r="CQ280" s="21">
        <v>533.63329999999996</v>
      </c>
      <c r="CR280" s="68">
        <v>206667</v>
      </c>
      <c r="CS280" s="301" t="s">
        <v>6339</v>
      </c>
      <c r="CT280" s="310">
        <v>345</v>
      </c>
      <c r="CU280" s="21">
        <v>418.73329999999999</v>
      </c>
      <c r="CV280" s="310">
        <v>490</v>
      </c>
      <c r="CW280" s="21">
        <v>502.9667</v>
      </c>
      <c r="CX280" s="68">
        <v>212333</v>
      </c>
      <c r="CY280" s="301" t="s">
        <v>5795</v>
      </c>
      <c r="CZ280" s="21">
        <v>41.48</v>
      </c>
      <c r="DA280" s="33">
        <v>2.9</v>
      </c>
      <c r="DB280" s="68">
        <v>41429</v>
      </c>
      <c r="DC280" s="21">
        <v>446.77</v>
      </c>
      <c r="DD280" s="63">
        <v>588.16999999999996</v>
      </c>
      <c r="DE280" s="68">
        <v>192000</v>
      </c>
      <c r="DF280" s="277">
        <v>345</v>
      </c>
      <c r="DG280" s="310">
        <v>10.9</v>
      </c>
      <c r="DH280" s="303">
        <v>900</v>
      </c>
      <c r="DI280" s="32">
        <v>990</v>
      </c>
      <c r="DJ280" s="303">
        <v>1000</v>
      </c>
      <c r="DK280" s="32">
        <v>1100</v>
      </c>
      <c r="DL280" s="66">
        <v>200000</v>
      </c>
      <c r="DM280" s="29" t="s">
        <v>5849</v>
      </c>
      <c r="DN280" s="301" t="s">
        <v>4435</v>
      </c>
      <c r="DO280" s="306" t="s">
        <v>4565</v>
      </c>
    </row>
    <row r="281" spans="1:119" ht="15.6" customHeight="1" thickBot="1">
      <c r="A281" s="308">
        <v>276</v>
      </c>
      <c r="B281" s="350"/>
      <c r="C281" s="350"/>
      <c r="D281" s="460"/>
      <c r="E281" s="375"/>
      <c r="F281" s="350"/>
      <c r="G281" s="370"/>
      <c r="H281" s="370"/>
      <c r="I281" s="370"/>
      <c r="J281" s="285" t="s">
        <v>4598</v>
      </c>
      <c r="K281" s="308" t="s">
        <v>6324</v>
      </c>
      <c r="L281" s="311" t="s">
        <v>6057</v>
      </c>
      <c r="M281" s="308" t="s">
        <v>4507</v>
      </c>
      <c r="N281" s="311" t="s">
        <v>4699</v>
      </c>
      <c r="O281" s="14" t="s">
        <v>4506</v>
      </c>
      <c r="P281" s="311" t="s">
        <v>4470</v>
      </c>
      <c r="Q281" s="311" t="s">
        <v>4420</v>
      </c>
      <c r="R281" s="311" t="s">
        <v>4420</v>
      </c>
      <c r="S281" s="311" t="s">
        <v>5791</v>
      </c>
      <c r="T281" s="86" t="s">
        <v>4420</v>
      </c>
      <c r="U281" s="86" t="s">
        <v>5791</v>
      </c>
      <c r="V281" s="86" t="s">
        <v>4420</v>
      </c>
      <c r="W281" s="86" t="s">
        <v>5791</v>
      </c>
      <c r="X281" s="311" t="s">
        <v>4420</v>
      </c>
      <c r="Y281" s="311" t="s">
        <v>5791</v>
      </c>
      <c r="Z281" s="34" t="s">
        <v>4558</v>
      </c>
      <c r="AA281" s="117">
        <v>6</v>
      </c>
      <c r="AB281" s="228">
        <v>0</v>
      </c>
      <c r="AC281" s="14">
        <v>0</v>
      </c>
      <c r="AD281" s="308" t="s">
        <v>4744</v>
      </c>
      <c r="AE281" s="23">
        <f>INDEX('[2]Cross-Section Database'!$C$2:$V$2928,MATCH(AD281,'[2]Cross-Section Database'!$B$2:$B$2928,0),3)</f>
        <v>200</v>
      </c>
      <c r="AF281" s="23">
        <f>INDEX('[2]Cross-Section Database'!$C$2:$V$2928,MATCH(AD281,'[2]Cross-Section Database'!$B$2:$B$2928,0),4)</f>
        <v>200</v>
      </c>
      <c r="AG281" s="23">
        <f>INDEX('[2]Cross-Section Database'!$C$2:$V$2928,MATCH(AD281,'[2]Cross-Section Database'!$B$2:$B$2928,0),6)</f>
        <v>12</v>
      </c>
      <c r="AH281" s="23">
        <f>INDEX('[2]Cross-Section Database'!$C$2:$V$2928,MATCH(AD281,'[2]Cross-Section Database'!$B$2:$B$2928,0),5)</f>
        <v>8</v>
      </c>
      <c r="AI281" s="35">
        <v>3000</v>
      </c>
      <c r="AJ281" s="308" t="s">
        <v>4745</v>
      </c>
      <c r="AK281" s="23">
        <v>300</v>
      </c>
      <c r="AL281" s="23">
        <v>150</v>
      </c>
      <c r="AM281" s="23">
        <v>10</v>
      </c>
      <c r="AN281" s="23">
        <v>6</v>
      </c>
      <c r="AO281" s="23">
        <v>1479</v>
      </c>
      <c r="AP281" s="23">
        <f>AL281*AK281^3/12-(AL281-AN281)*(AK281-2*AM281)^3/12</f>
        <v>74076000</v>
      </c>
      <c r="AQ281" s="25">
        <f>AL281*AK281^2/4-(AL281-AN281)*(AK281-2*AM281)^2/4</f>
        <v>552600</v>
      </c>
      <c r="AR281" s="23">
        <v>10</v>
      </c>
      <c r="AS281" s="23">
        <v>150</v>
      </c>
      <c r="AT281" s="23">
        <v>300</v>
      </c>
      <c r="AU281" s="23">
        <f>(AT281-AK281)-AV281</f>
        <v>0</v>
      </c>
      <c r="AV281" s="23">
        <f>(AT281-AK281)/2</f>
        <v>0</v>
      </c>
      <c r="AW281" s="308" t="s">
        <v>5806</v>
      </c>
      <c r="AX281" s="311" t="s">
        <v>6129</v>
      </c>
      <c r="AY281" s="311" t="s">
        <v>6129</v>
      </c>
      <c r="AZ281" s="311">
        <v>20</v>
      </c>
      <c r="BA281" s="311">
        <f t="shared" si="135"/>
        <v>245</v>
      </c>
      <c r="BB281" s="35">
        <v>45</v>
      </c>
      <c r="BC281" s="35">
        <v>45</v>
      </c>
      <c r="BD281" s="23">
        <v>70</v>
      </c>
      <c r="BE281" s="23">
        <v>90</v>
      </c>
      <c r="BF281" s="23">
        <v>70</v>
      </c>
      <c r="BG281" s="19" t="s">
        <v>6317</v>
      </c>
      <c r="BH281" s="311" t="s">
        <v>4465</v>
      </c>
      <c r="BI281" s="311" t="s">
        <v>4465</v>
      </c>
      <c r="BJ281" s="311">
        <v>4</v>
      </c>
      <c r="BK281" s="14">
        <v>8</v>
      </c>
      <c r="BL281" s="308">
        <v>140</v>
      </c>
      <c r="BM281" s="311">
        <v>1200</v>
      </c>
      <c r="BN281" s="311" t="s">
        <v>6190</v>
      </c>
      <c r="BO281" s="311">
        <v>0.8</v>
      </c>
      <c r="BP281" s="311">
        <v>145</v>
      </c>
      <c r="BQ281" s="311">
        <v>983</v>
      </c>
      <c r="BR281" s="311">
        <v>76</v>
      </c>
      <c r="BS281" s="311" t="s">
        <v>4590</v>
      </c>
      <c r="BT281" s="308" t="s">
        <v>5855</v>
      </c>
      <c r="BU281" s="311">
        <v>14</v>
      </c>
      <c r="BV281" s="311">
        <v>2</v>
      </c>
      <c r="BW281" s="34">
        <v>19</v>
      </c>
      <c r="BX281" s="311">
        <v>90</v>
      </c>
      <c r="BY281" s="311">
        <v>200</v>
      </c>
      <c r="BZ281" s="14">
        <v>350</v>
      </c>
      <c r="CA281" s="311" t="s">
        <v>4746</v>
      </c>
      <c r="CB281" s="311" t="s">
        <v>6116</v>
      </c>
      <c r="CC281" s="23">
        <f>((BM281/200)+1)*PI()*6^2/4</f>
        <v>197.92033717615698</v>
      </c>
      <c r="CD281" s="21">
        <f>8*PI()*10^2/4</f>
        <v>628.31853071795865</v>
      </c>
      <c r="CE281" s="311">
        <v>20</v>
      </c>
      <c r="CF281" s="120">
        <v>8.0999999999999996E-3</v>
      </c>
      <c r="CG281" s="308" t="s">
        <v>4747</v>
      </c>
      <c r="CH281" s="311">
        <v>345</v>
      </c>
      <c r="CI281" s="23">
        <v>406.45</v>
      </c>
      <c r="CJ281" s="73">
        <v>490</v>
      </c>
      <c r="CK281" s="23">
        <v>495.23329999999999</v>
      </c>
      <c r="CL281" s="82">
        <v>210000</v>
      </c>
      <c r="CM281" s="308" t="s">
        <v>4747</v>
      </c>
      <c r="CN281" s="86">
        <v>345</v>
      </c>
      <c r="CO281" s="23">
        <v>407.05</v>
      </c>
      <c r="CP281" s="86">
        <v>490</v>
      </c>
      <c r="CQ281" s="23">
        <v>533.63329999999996</v>
      </c>
      <c r="CR281" s="82">
        <v>206667</v>
      </c>
      <c r="CS281" s="308" t="s">
        <v>4747</v>
      </c>
      <c r="CT281" s="311">
        <v>345</v>
      </c>
      <c r="CU281" s="23">
        <v>418.73329999999999</v>
      </c>
      <c r="CV281" s="311">
        <v>490</v>
      </c>
      <c r="CW281" s="23">
        <v>502.9667</v>
      </c>
      <c r="CX281" s="82">
        <v>212333</v>
      </c>
      <c r="CY281" s="308" t="s">
        <v>5795</v>
      </c>
      <c r="CZ281" s="23">
        <v>41.48</v>
      </c>
      <c r="DA281" s="33">
        <v>2.9</v>
      </c>
      <c r="DB281" s="82">
        <v>41429</v>
      </c>
      <c r="DC281" s="23">
        <v>446.77</v>
      </c>
      <c r="DD281" s="83">
        <v>588.16999999999996</v>
      </c>
      <c r="DE281" s="82">
        <v>192000</v>
      </c>
      <c r="DF281" s="278">
        <v>345</v>
      </c>
      <c r="DG281" s="311">
        <v>10.9</v>
      </c>
      <c r="DH281" s="304">
        <v>900</v>
      </c>
      <c r="DI281" s="34">
        <v>990</v>
      </c>
      <c r="DJ281" s="304">
        <v>1000</v>
      </c>
      <c r="DK281" s="34">
        <v>1100</v>
      </c>
      <c r="DL281" s="69">
        <v>200000</v>
      </c>
      <c r="DM281" s="27" t="s">
        <v>5849</v>
      </c>
      <c r="DN281" s="301" t="s">
        <v>4435</v>
      </c>
      <c r="DO281" s="306" t="s">
        <v>4565</v>
      </c>
    </row>
    <row r="282" spans="1:119" ht="15.6" customHeight="1">
      <c r="A282" s="301">
        <v>277</v>
      </c>
      <c r="B282" s="348">
        <v>40</v>
      </c>
      <c r="C282" s="348">
        <v>2007</v>
      </c>
      <c r="D282" s="458" t="s">
        <v>4679</v>
      </c>
      <c r="E282" s="373" t="s">
        <v>4849</v>
      </c>
      <c r="F282" s="348">
        <v>10</v>
      </c>
      <c r="G282" s="368" t="s">
        <v>5897</v>
      </c>
      <c r="H282" s="368" t="s">
        <v>5896</v>
      </c>
      <c r="I282" s="368" t="s">
        <v>6245</v>
      </c>
      <c r="J282" s="286" t="s">
        <v>4823</v>
      </c>
      <c r="K282" s="301" t="s">
        <v>6320</v>
      </c>
      <c r="L282" s="310" t="s">
        <v>5791</v>
      </c>
      <c r="M282" s="301" t="s">
        <v>4508</v>
      </c>
      <c r="N282" s="310" t="s">
        <v>4702</v>
      </c>
      <c r="O282" s="18" t="s">
        <v>4506</v>
      </c>
      <c r="P282" s="310" t="s">
        <v>6317</v>
      </c>
      <c r="Q282" s="310" t="s">
        <v>4420</v>
      </c>
      <c r="R282" s="310" t="s">
        <v>4420</v>
      </c>
      <c r="S282" s="310" t="s">
        <v>5791</v>
      </c>
      <c r="T282" s="59" t="s">
        <v>4420</v>
      </c>
      <c r="U282" s="59" t="s">
        <v>5791</v>
      </c>
      <c r="V282" s="59" t="s">
        <v>4420</v>
      </c>
      <c r="W282" s="59" t="s">
        <v>5791</v>
      </c>
      <c r="X282" s="310" t="s">
        <v>4420</v>
      </c>
      <c r="Y282" s="310" t="s">
        <v>5791</v>
      </c>
      <c r="Z282" s="310" t="s">
        <v>6050</v>
      </c>
      <c r="AA282" s="18">
        <v>10</v>
      </c>
      <c r="AB282" s="232">
        <v>0</v>
      </c>
      <c r="AC282" s="17">
        <v>0</v>
      </c>
      <c r="AD282" s="300" t="s">
        <v>6340</v>
      </c>
      <c r="AE282" s="16">
        <f>INDEX('[2]Cross-Section Database'!$C$2:$V$2928,MATCH(AD282,'[2]Cross-Section Database'!$B$2:$B$2928,0),3)</f>
        <v>340</v>
      </c>
      <c r="AF282" s="16">
        <f>INDEX('[2]Cross-Section Database'!$C$2:$V$2928,MATCH(AD282,'[2]Cross-Section Database'!$B$2:$B$2928,0),4)</f>
        <v>310</v>
      </c>
      <c r="AG282" s="16">
        <f>INDEX('[2]Cross-Section Database'!$C$2:$V$2928,MATCH(AD282,'[2]Cross-Section Database'!$B$2:$B$2928,0),6)</f>
        <v>39</v>
      </c>
      <c r="AH282" s="16">
        <f>INDEX('[2]Cross-Section Database'!$C$2:$V$2928,MATCH(AD282,'[2]Cross-Section Database'!$B$2:$B$2928,0),5)</f>
        <v>21</v>
      </c>
      <c r="AI282" s="16">
        <v>1540</v>
      </c>
      <c r="AJ282" s="300" t="s">
        <v>6341</v>
      </c>
      <c r="AK282" s="16">
        <f>INDEX('[2]Cross-Section Database'!$C$2:$V$2928,MATCH(AJ282,'[2]Cross-Section Database'!$B$2:$B$2928,0),3)</f>
        <v>310</v>
      </c>
      <c r="AL282" s="16">
        <f>INDEX('[2]Cross-Section Database'!$C$2:$V$2928,MATCH(AJ282,'[2]Cross-Section Database'!$B$2:$B$2928,0),4)</f>
        <v>300</v>
      </c>
      <c r="AM282" s="16">
        <f>INDEX('[2]Cross-Section Database'!$C$2:$V$2928,MATCH(AJ282,'[2]Cross-Section Database'!$B$2:$B$2928,0),6)</f>
        <v>15.5</v>
      </c>
      <c r="AN282" s="16">
        <f>INDEX('[2]Cross-Section Database'!$C$2:$V$2928,MATCH(AJ282,'[2]Cross-Section Database'!$B$2:$B$2928,0),5)</f>
        <v>9</v>
      </c>
      <c r="AO282" s="16">
        <v>1300</v>
      </c>
      <c r="AP282" s="16">
        <f>INDEX('[2]Cross-Section Database'!$C$2:$V$3928,MATCH(AJ282,'[2]Cross-Section Database'!$B$2:$B$3928,0),11)</f>
        <v>229300000</v>
      </c>
      <c r="AQ282" s="26">
        <f>INDEX('[2]Cross-Section Database'!$C$2:$V$3928,MATCH(AJ282,'[2]Cross-Section Database'!$B$2:$B$3928,0),12)</f>
        <v>1628000</v>
      </c>
      <c r="AR282" s="16">
        <v>15.3</v>
      </c>
      <c r="AS282" s="16">
        <v>300</v>
      </c>
      <c r="AT282" s="16">
        <v>360</v>
      </c>
      <c r="AU282" s="16">
        <v>25</v>
      </c>
      <c r="AV282" s="16">
        <v>25</v>
      </c>
      <c r="AW282" s="300" t="s">
        <v>5806</v>
      </c>
      <c r="AX282" s="309" t="s">
        <v>4498</v>
      </c>
      <c r="AY282" s="16">
        <f t="shared" ref="AY282:AY294" si="155">0.175*BA282*DJ282/1000</f>
        <v>75.365499999999997</v>
      </c>
      <c r="AZ282" s="309">
        <v>24</v>
      </c>
      <c r="BA282" s="309">
        <f t="shared" si="135"/>
        <v>353</v>
      </c>
      <c r="BB282" s="16">
        <v>100</v>
      </c>
      <c r="BC282" s="16">
        <v>100</v>
      </c>
      <c r="BD282" s="16">
        <v>0</v>
      </c>
      <c r="BE282" s="16">
        <v>150</v>
      </c>
      <c r="BF282" s="16">
        <v>160</v>
      </c>
      <c r="BG282" s="22" t="s">
        <v>6318</v>
      </c>
      <c r="BH282" s="309" t="s">
        <v>6204</v>
      </c>
      <c r="BI282" s="309" t="s">
        <v>6204</v>
      </c>
      <c r="BJ282" s="309">
        <v>2</v>
      </c>
      <c r="BK282" s="309">
        <v>4</v>
      </c>
      <c r="BL282" s="194" t="s">
        <v>5791</v>
      </c>
      <c r="BM282" s="195" t="s">
        <v>5791</v>
      </c>
      <c r="BN282" s="195" t="s">
        <v>5791</v>
      </c>
      <c r="BO282" s="195" t="s">
        <v>5791</v>
      </c>
      <c r="BP282" s="195" t="s">
        <v>5791</v>
      </c>
      <c r="BQ282" s="195" t="s">
        <v>5791</v>
      </c>
      <c r="BR282" s="195" t="s">
        <v>5791</v>
      </c>
      <c r="BS282" s="195" t="s">
        <v>5791</v>
      </c>
      <c r="BT282" s="194" t="s">
        <v>5791</v>
      </c>
      <c r="BU282" s="195" t="s">
        <v>5791</v>
      </c>
      <c r="BV282" s="195" t="s">
        <v>5791</v>
      </c>
      <c r="BW282" s="195" t="s">
        <v>5791</v>
      </c>
      <c r="BX282" s="195" t="s">
        <v>5791</v>
      </c>
      <c r="BY282" s="195" t="s">
        <v>5791</v>
      </c>
      <c r="BZ282" s="213" t="s">
        <v>5791</v>
      </c>
      <c r="CA282" s="195" t="s">
        <v>5791</v>
      </c>
      <c r="CB282" s="195" t="s">
        <v>5791</v>
      </c>
      <c r="CC282" s="195" t="s">
        <v>5791</v>
      </c>
      <c r="CD282" s="195" t="s">
        <v>5791</v>
      </c>
      <c r="CE282" s="195" t="s">
        <v>5791</v>
      </c>
      <c r="CF282" s="213" t="s">
        <v>5791</v>
      </c>
      <c r="CG282" s="300" t="s">
        <v>5971</v>
      </c>
      <c r="CH282" s="309">
        <v>355</v>
      </c>
      <c r="CI282" s="31">
        <f t="shared" ref="CI282:CI291" si="156">CH282*1.1</f>
        <v>390.50000000000006</v>
      </c>
      <c r="CJ282" s="188">
        <v>470</v>
      </c>
      <c r="CK282" s="31">
        <f t="shared" ref="CK282:CK291" si="157">CJ282*1.1</f>
        <v>517</v>
      </c>
      <c r="CL282" s="65">
        <v>200000</v>
      </c>
      <c r="CM282" s="300" t="s">
        <v>5971</v>
      </c>
      <c r="CN282" s="64">
        <v>355</v>
      </c>
      <c r="CO282" s="31">
        <f t="shared" ref="CO282:CO291" si="158">CN282*1.1</f>
        <v>390.50000000000006</v>
      </c>
      <c r="CP282" s="64">
        <v>470</v>
      </c>
      <c r="CQ282" s="31">
        <f t="shared" ref="CQ282:CQ291" si="159">CP282*1.1</f>
        <v>517</v>
      </c>
      <c r="CR282" s="65">
        <v>200000</v>
      </c>
      <c r="CS282" s="300" t="s">
        <v>4825</v>
      </c>
      <c r="CT282" s="16">
        <v>460</v>
      </c>
      <c r="CU282" s="16">
        <v>483.1</v>
      </c>
      <c r="CV282" s="16">
        <v>575</v>
      </c>
      <c r="CW282" s="16">
        <f>CU282/0.84</f>
        <v>575.11904761904771</v>
      </c>
      <c r="CX282" s="80">
        <v>219800</v>
      </c>
      <c r="CY282" s="198" t="s">
        <v>5791</v>
      </c>
      <c r="CZ282" s="199" t="s">
        <v>5791</v>
      </c>
      <c r="DA282" s="199" t="s">
        <v>5791</v>
      </c>
      <c r="DB282" s="200" t="s">
        <v>5791</v>
      </c>
      <c r="DC282" s="198" t="s">
        <v>5791</v>
      </c>
      <c r="DD282" s="199" t="s">
        <v>5791</v>
      </c>
      <c r="DE282" s="200" t="s">
        <v>5791</v>
      </c>
      <c r="DF282" s="273" t="s">
        <v>5791</v>
      </c>
      <c r="DG282" s="309">
        <v>12.9</v>
      </c>
      <c r="DH282" s="309">
        <v>1100</v>
      </c>
      <c r="DI282" s="16">
        <v>1112.5</v>
      </c>
      <c r="DJ282" s="309">
        <v>1220</v>
      </c>
      <c r="DK282" s="309">
        <v>1413</v>
      </c>
      <c r="DL282" s="65">
        <v>200000</v>
      </c>
      <c r="DM282" s="28" t="s">
        <v>4793</v>
      </c>
      <c r="DN282" s="309" t="s">
        <v>4435</v>
      </c>
      <c r="DO282" s="305" t="s">
        <v>4565</v>
      </c>
    </row>
    <row r="283" spans="1:119">
      <c r="A283" s="301">
        <v>278</v>
      </c>
      <c r="B283" s="349"/>
      <c r="C283" s="349"/>
      <c r="D283" s="459"/>
      <c r="E283" s="374"/>
      <c r="F283" s="349"/>
      <c r="G283" s="369"/>
      <c r="H283" s="369"/>
      <c r="I283" s="369"/>
      <c r="J283" s="286" t="s">
        <v>4824</v>
      </c>
      <c r="K283" s="301" t="s">
        <v>6320</v>
      </c>
      <c r="L283" s="310" t="s">
        <v>5791</v>
      </c>
      <c r="M283" s="301" t="s">
        <v>4508</v>
      </c>
      <c r="N283" s="310" t="s">
        <v>4702</v>
      </c>
      <c r="O283" s="18" t="s">
        <v>4506</v>
      </c>
      <c r="P283" s="310" t="s">
        <v>6317</v>
      </c>
      <c r="Q283" s="310" t="s">
        <v>4420</v>
      </c>
      <c r="R283" s="310" t="s">
        <v>4420</v>
      </c>
      <c r="S283" s="310" t="s">
        <v>5791</v>
      </c>
      <c r="T283" s="59" t="s">
        <v>4420</v>
      </c>
      <c r="U283" s="59" t="s">
        <v>5791</v>
      </c>
      <c r="V283" s="59" t="s">
        <v>4420</v>
      </c>
      <c r="W283" s="59" t="s">
        <v>5791</v>
      </c>
      <c r="X283" s="310" t="s">
        <v>4420</v>
      </c>
      <c r="Y283" s="310" t="s">
        <v>5791</v>
      </c>
      <c r="Z283" s="310" t="s">
        <v>6050</v>
      </c>
      <c r="AA283" s="18">
        <v>10</v>
      </c>
      <c r="AB283" s="223">
        <v>0</v>
      </c>
      <c r="AC283" s="18">
        <v>0</v>
      </c>
      <c r="AD283" s="301" t="s">
        <v>6340</v>
      </c>
      <c r="AE283" s="21">
        <f>INDEX('[2]Cross-Section Database'!$C$2:$V$2928,MATCH(AD283,'[2]Cross-Section Database'!$B$2:$B$2928,0),3)</f>
        <v>340</v>
      </c>
      <c r="AF283" s="21">
        <f>INDEX('[2]Cross-Section Database'!$C$2:$V$2928,MATCH(AD283,'[2]Cross-Section Database'!$B$2:$B$2928,0),4)</f>
        <v>310</v>
      </c>
      <c r="AG283" s="21">
        <f>INDEX('[2]Cross-Section Database'!$C$2:$V$2928,MATCH(AD283,'[2]Cross-Section Database'!$B$2:$B$2928,0),6)</f>
        <v>39</v>
      </c>
      <c r="AH283" s="21">
        <f>INDEX('[2]Cross-Section Database'!$C$2:$V$2928,MATCH(AD283,'[2]Cross-Section Database'!$B$2:$B$2928,0),5)</f>
        <v>21</v>
      </c>
      <c r="AI283" s="21">
        <v>1540</v>
      </c>
      <c r="AJ283" s="301" t="s">
        <v>6341</v>
      </c>
      <c r="AK283" s="21">
        <f>INDEX('[2]Cross-Section Database'!$C$2:$V$2928,MATCH(AJ283,'[2]Cross-Section Database'!$B$2:$B$2928,0),3)</f>
        <v>310</v>
      </c>
      <c r="AL283" s="21">
        <f>INDEX('[2]Cross-Section Database'!$C$2:$V$2928,MATCH(AJ283,'[2]Cross-Section Database'!$B$2:$B$2928,0),4)</f>
        <v>300</v>
      </c>
      <c r="AM283" s="21">
        <f>INDEX('[2]Cross-Section Database'!$C$2:$V$2928,MATCH(AJ283,'[2]Cross-Section Database'!$B$2:$B$2928,0),6)</f>
        <v>15.5</v>
      </c>
      <c r="AN283" s="21">
        <f>INDEX('[2]Cross-Section Database'!$C$2:$V$2928,MATCH(AJ283,'[2]Cross-Section Database'!$B$2:$B$2928,0),5)</f>
        <v>9</v>
      </c>
      <c r="AO283" s="21">
        <v>1300</v>
      </c>
      <c r="AP283" s="21">
        <f>INDEX('[2]Cross-Section Database'!$C$2:$V$3928,MATCH(AJ283,'[2]Cross-Section Database'!$B$2:$B$3928,0),11)</f>
        <v>229300000</v>
      </c>
      <c r="AQ283" s="24">
        <f>INDEX('[2]Cross-Section Database'!$C$2:$V$3928,MATCH(AJ283,'[2]Cross-Section Database'!$B$2:$B$3928,0),12)</f>
        <v>1628000</v>
      </c>
      <c r="AR283" s="21">
        <v>15.3</v>
      </c>
      <c r="AS283" s="21">
        <v>300</v>
      </c>
      <c r="AT283" s="21">
        <v>310</v>
      </c>
      <c r="AU283" s="21">
        <v>0</v>
      </c>
      <c r="AV283" s="21">
        <v>0</v>
      </c>
      <c r="AW283" s="301" t="s">
        <v>5806</v>
      </c>
      <c r="AX283" s="310" t="s">
        <v>4498</v>
      </c>
      <c r="AY283" s="21">
        <f t="shared" si="155"/>
        <v>75.365499999999997</v>
      </c>
      <c r="AZ283" s="310">
        <v>24</v>
      </c>
      <c r="BA283" s="310">
        <f t="shared" si="135"/>
        <v>353</v>
      </c>
      <c r="BB283" s="21">
        <v>75</v>
      </c>
      <c r="BC283" s="21">
        <v>75</v>
      </c>
      <c r="BD283" s="21">
        <v>0</v>
      </c>
      <c r="BE283" s="21">
        <v>150</v>
      </c>
      <c r="BF283" s="21">
        <v>160</v>
      </c>
      <c r="BG283" s="15" t="s">
        <v>6318</v>
      </c>
      <c r="BH283" s="310" t="s">
        <v>6204</v>
      </c>
      <c r="BI283" s="310" t="s">
        <v>6204</v>
      </c>
      <c r="BJ283" s="310">
        <v>2</v>
      </c>
      <c r="BK283" s="310">
        <v>4</v>
      </c>
      <c r="BL283" s="196" t="s">
        <v>5791</v>
      </c>
      <c r="BM283" s="197" t="s">
        <v>5791</v>
      </c>
      <c r="BN283" s="197" t="s">
        <v>5791</v>
      </c>
      <c r="BO283" s="197" t="s">
        <v>5791</v>
      </c>
      <c r="BP283" s="197" t="s">
        <v>5791</v>
      </c>
      <c r="BQ283" s="197" t="s">
        <v>5791</v>
      </c>
      <c r="BR283" s="197" t="s">
        <v>5791</v>
      </c>
      <c r="BS283" s="197" t="s">
        <v>5791</v>
      </c>
      <c r="BT283" s="196" t="s">
        <v>5791</v>
      </c>
      <c r="BU283" s="197" t="s">
        <v>5791</v>
      </c>
      <c r="BV283" s="197" t="s">
        <v>5791</v>
      </c>
      <c r="BW283" s="197" t="s">
        <v>5791</v>
      </c>
      <c r="BX283" s="197" t="s">
        <v>5791</v>
      </c>
      <c r="BY283" s="197" t="s">
        <v>5791</v>
      </c>
      <c r="BZ283" s="212" t="s">
        <v>5791</v>
      </c>
      <c r="CA283" s="197" t="s">
        <v>5791</v>
      </c>
      <c r="CB283" s="197" t="s">
        <v>5791</v>
      </c>
      <c r="CC283" s="197" t="s">
        <v>5791</v>
      </c>
      <c r="CD283" s="197" t="s">
        <v>5791</v>
      </c>
      <c r="CE283" s="197" t="s">
        <v>5791</v>
      </c>
      <c r="CF283" s="212" t="s">
        <v>5791</v>
      </c>
      <c r="CG283" s="301" t="s">
        <v>5971</v>
      </c>
      <c r="CH283" s="310">
        <v>355</v>
      </c>
      <c r="CI283" s="33">
        <f t="shared" si="156"/>
        <v>390.50000000000006</v>
      </c>
      <c r="CJ283" s="62">
        <v>470</v>
      </c>
      <c r="CK283" s="33">
        <f t="shared" si="157"/>
        <v>517</v>
      </c>
      <c r="CL283" s="66">
        <v>200000</v>
      </c>
      <c r="CM283" s="301" t="s">
        <v>5971</v>
      </c>
      <c r="CN283" s="59">
        <v>355</v>
      </c>
      <c r="CO283" s="33">
        <f t="shared" si="158"/>
        <v>390.50000000000006</v>
      </c>
      <c r="CP283" s="59">
        <v>470</v>
      </c>
      <c r="CQ283" s="33">
        <f t="shared" si="159"/>
        <v>517</v>
      </c>
      <c r="CR283" s="66">
        <v>200000</v>
      </c>
      <c r="CS283" s="301" t="s">
        <v>4825</v>
      </c>
      <c r="CT283" s="21">
        <v>460</v>
      </c>
      <c r="CU283" s="21">
        <v>483.1</v>
      </c>
      <c r="CV283" s="21">
        <v>575</v>
      </c>
      <c r="CW283" s="21">
        <f>CU283/0.84</f>
        <v>575.11904761904771</v>
      </c>
      <c r="CX283" s="68">
        <v>219800</v>
      </c>
      <c r="CY283" s="201" t="s">
        <v>5791</v>
      </c>
      <c r="CZ283" s="202" t="s">
        <v>5791</v>
      </c>
      <c r="DA283" s="202" t="s">
        <v>5791</v>
      </c>
      <c r="DB283" s="203" t="s">
        <v>5791</v>
      </c>
      <c r="DC283" s="201" t="s">
        <v>5791</v>
      </c>
      <c r="DD283" s="202" t="s">
        <v>5791</v>
      </c>
      <c r="DE283" s="203" t="s">
        <v>5791</v>
      </c>
      <c r="DF283" s="274" t="s">
        <v>5791</v>
      </c>
      <c r="DG283" s="310">
        <v>12.9</v>
      </c>
      <c r="DH283" s="310">
        <v>1100</v>
      </c>
      <c r="DI283" s="21">
        <v>112.5</v>
      </c>
      <c r="DJ283" s="310">
        <v>1220</v>
      </c>
      <c r="DK283" s="310">
        <v>1413</v>
      </c>
      <c r="DL283" s="66">
        <v>200000</v>
      </c>
      <c r="DM283" s="29" t="s">
        <v>4793</v>
      </c>
      <c r="DN283" s="301" t="s">
        <v>4435</v>
      </c>
      <c r="DO283" s="306" t="s">
        <v>4565</v>
      </c>
    </row>
    <row r="284" spans="1:119">
      <c r="A284" s="301">
        <v>279</v>
      </c>
      <c r="B284" s="349"/>
      <c r="C284" s="349"/>
      <c r="D284" s="459"/>
      <c r="E284" s="374"/>
      <c r="F284" s="349"/>
      <c r="G284" s="369"/>
      <c r="H284" s="369"/>
      <c r="I284" s="369"/>
      <c r="J284" s="286" t="s">
        <v>6342</v>
      </c>
      <c r="K284" s="301" t="s">
        <v>6320</v>
      </c>
      <c r="L284" s="310" t="s">
        <v>5791</v>
      </c>
      <c r="M284" s="301" t="s">
        <v>4508</v>
      </c>
      <c r="N284" s="310" t="s">
        <v>4702</v>
      </c>
      <c r="O284" s="18" t="s">
        <v>4506</v>
      </c>
      <c r="P284" s="310" t="s">
        <v>6317</v>
      </c>
      <c r="Q284" s="310" t="s">
        <v>4420</v>
      </c>
      <c r="R284" s="310" t="s">
        <v>4420</v>
      </c>
      <c r="S284" s="310" t="s">
        <v>5791</v>
      </c>
      <c r="T284" s="59" t="s">
        <v>4420</v>
      </c>
      <c r="U284" s="59" t="s">
        <v>5791</v>
      </c>
      <c r="V284" s="59" t="s">
        <v>4420</v>
      </c>
      <c r="W284" s="59" t="s">
        <v>5791</v>
      </c>
      <c r="X284" s="310" t="s">
        <v>4420</v>
      </c>
      <c r="Y284" s="310" t="s">
        <v>5791</v>
      </c>
      <c r="Z284" s="310" t="s">
        <v>6050</v>
      </c>
      <c r="AA284" s="18">
        <v>10</v>
      </c>
      <c r="AB284" s="223">
        <v>0</v>
      </c>
      <c r="AC284" s="18">
        <v>0</v>
      </c>
      <c r="AD284" s="301" t="s">
        <v>6340</v>
      </c>
      <c r="AE284" s="21">
        <f>INDEX('[2]Cross-Section Database'!$C$2:$V$2928,MATCH(AD284,'[2]Cross-Section Database'!$B$2:$B$2928,0),3)</f>
        <v>340</v>
      </c>
      <c r="AF284" s="21">
        <f>INDEX('[2]Cross-Section Database'!$C$2:$V$2928,MATCH(AD284,'[2]Cross-Section Database'!$B$2:$B$2928,0),4)</f>
        <v>310</v>
      </c>
      <c r="AG284" s="21">
        <f>INDEX('[2]Cross-Section Database'!$C$2:$V$2928,MATCH(AD284,'[2]Cross-Section Database'!$B$2:$B$2928,0),6)</f>
        <v>39</v>
      </c>
      <c r="AH284" s="21">
        <f>INDEX('[2]Cross-Section Database'!$C$2:$V$2928,MATCH(AD284,'[2]Cross-Section Database'!$B$2:$B$2928,0),5)</f>
        <v>21</v>
      </c>
      <c r="AI284" s="21">
        <v>1540</v>
      </c>
      <c r="AJ284" s="301" t="s">
        <v>6341</v>
      </c>
      <c r="AK284" s="21">
        <f>INDEX('[2]Cross-Section Database'!$C$2:$V$2928,MATCH(AJ284,'[2]Cross-Section Database'!$B$2:$B$2928,0),3)</f>
        <v>310</v>
      </c>
      <c r="AL284" s="21">
        <f>INDEX('[2]Cross-Section Database'!$C$2:$V$2928,MATCH(AJ284,'[2]Cross-Section Database'!$B$2:$B$2928,0),4)</f>
        <v>300</v>
      </c>
      <c r="AM284" s="21">
        <f>INDEX('[2]Cross-Section Database'!$C$2:$V$2928,MATCH(AJ284,'[2]Cross-Section Database'!$B$2:$B$2928,0),6)</f>
        <v>15.5</v>
      </c>
      <c r="AN284" s="21">
        <f>INDEX('[2]Cross-Section Database'!$C$2:$V$2928,MATCH(AJ284,'[2]Cross-Section Database'!$B$2:$B$2928,0),5)</f>
        <v>9</v>
      </c>
      <c r="AO284" s="21">
        <v>1300</v>
      </c>
      <c r="AP284" s="21">
        <f>INDEX('[2]Cross-Section Database'!$C$2:$V$3928,MATCH(AJ284,'[2]Cross-Section Database'!$B$2:$B$3928,0),11)</f>
        <v>229300000</v>
      </c>
      <c r="AQ284" s="24">
        <f>INDEX('[2]Cross-Section Database'!$C$2:$V$3928,MATCH(AJ284,'[2]Cross-Section Database'!$B$2:$B$3928,0),12)</f>
        <v>1628000</v>
      </c>
      <c r="AR284" s="21">
        <v>14.75</v>
      </c>
      <c r="AS284" s="21">
        <v>300</v>
      </c>
      <c r="AT284" s="21">
        <v>360</v>
      </c>
      <c r="AU284" s="21">
        <v>25</v>
      </c>
      <c r="AV284" s="21">
        <v>25</v>
      </c>
      <c r="AW284" s="301" t="s">
        <v>5806</v>
      </c>
      <c r="AX284" s="310" t="s">
        <v>4498</v>
      </c>
      <c r="AY284" s="21">
        <f t="shared" si="155"/>
        <v>75.365499999999997</v>
      </c>
      <c r="AZ284" s="310">
        <v>24</v>
      </c>
      <c r="BA284" s="310">
        <f t="shared" si="135"/>
        <v>353</v>
      </c>
      <c r="BB284" s="21">
        <v>100</v>
      </c>
      <c r="BC284" s="21">
        <v>100</v>
      </c>
      <c r="BD284" s="21">
        <v>0</v>
      </c>
      <c r="BE284" s="21">
        <v>150</v>
      </c>
      <c r="BF284" s="21">
        <v>160</v>
      </c>
      <c r="BG284" s="15" t="s">
        <v>6318</v>
      </c>
      <c r="BH284" s="310" t="s">
        <v>6204</v>
      </c>
      <c r="BI284" s="310" t="s">
        <v>6204</v>
      </c>
      <c r="BJ284" s="310">
        <v>2</v>
      </c>
      <c r="BK284" s="310">
        <v>4</v>
      </c>
      <c r="BL284" s="196" t="s">
        <v>5791</v>
      </c>
      <c r="BM284" s="197" t="s">
        <v>5791</v>
      </c>
      <c r="BN284" s="197" t="s">
        <v>5791</v>
      </c>
      <c r="BO284" s="197" t="s">
        <v>5791</v>
      </c>
      <c r="BP284" s="197" t="s">
        <v>5791</v>
      </c>
      <c r="BQ284" s="197" t="s">
        <v>5791</v>
      </c>
      <c r="BR284" s="197" t="s">
        <v>5791</v>
      </c>
      <c r="BS284" s="197" t="s">
        <v>5791</v>
      </c>
      <c r="BT284" s="196" t="s">
        <v>5791</v>
      </c>
      <c r="BU284" s="197" t="s">
        <v>5791</v>
      </c>
      <c r="BV284" s="197" t="s">
        <v>5791</v>
      </c>
      <c r="BW284" s="197" t="s">
        <v>5791</v>
      </c>
      <c r="BX284" s="197" t="s">
        <v>5791</v>
      </c>
      <c r="BY284" s="197" t="s">
        <v>5791</v>
      </c>
      <c r="BZ284" s="212" t="s">
        <v>5791</v>
      </c>
      <c r="CA284" s="197" t="s">
        <v>5791</v>
      </c>
      <c r="CB284" s="197" t="s">
        <v>5791</v>
      </c>
      <c r="CC284" s="197" t="s">
        <v>5791</v>
      </c>
      <c r="CD284" s="197" t="s">
        <v>5791</v>
      </c>
      <c r="CE284" s="197" t="s">
        <v>5791</v>
      </c>
      <c r="CF284" s="212" t="s">
        <v>5791</v>
      </c>
      <c r="CG284" s="301" t="s">
        <v>5971</v>
      </c>
      <c r="CH284" s="310">
        <v>355</v>
      </c>
      <c r="CI284" s="33">
        <f t="shared" si="156"/>
        <v>390.50000000000006</v>
      </c>
      <c r="CJ284" s="62">
        <v>470</v>
      </c>
      <c r="CK284" s="33">
        <f t="shared" si="157"/>
        <v>517</v>
      </c>
      <c r="CL284" s="66">
        <v>200000</v>
      </c>
      <c r="CM284" s="301" t="s">
        <v>5971</v>
      </c>
      <c r="CN284" s="59">
        <v>355</v>
      </c>
      <c r="CO284" s="33">
        <f t="shared" si="158"/>
        <v>390.50000000000006</v>
      </c>
      <c r="CP284" s="59">
        <v>470</v>
      </c>
      <c r="CQ284" s="33">
        <f t="shared" si="159"/>
        <v>517</v>
      </c>
      <c r="CR284" s="66">
        <v>200000</v>
      </c>
      <c r="CS284" s="301" t="s">
        <v>6343</v>
      </c>
      <c r="CT284" s="21">
        <v>690</v>
      </c>
      <c r="CU284" s="21">
        <v>774</v>
      </c>
      <c r="CV284" s="21">
        <v>770</v>
      </c>
      <c r="CW284" s="21">
        <v>814</v>
      </c>
      <c r="CX284" s="68">
        <v>206400</v>
      </c>
      <c r="CY284" s="201" t="s">
        <v>5791</v>
      </c>
      <c r="CZ284" s="202" t="s">
        <v>5791</v>
      </c>
      <c r="DA284" s="202" t="s">
        <v>5791</v>
      </c>
      <c r="DB284" s="203" t="s">
        <v>5791</v>
      </c>
      <c r="DC284" s="201" t="s">
        <v>5791</v>
      </c>
      <c r="DD284" s="202" t="s">
        <v>5791</v>
      </c>
      <c r="DE284" s="203" t="s">
        <v>5791</v>
      </c>
      <c r="DF284" s="274" t="s">
        <v>5791</v>
      </c>
      <c r="DG284" s="310">
        <v>12.9</v>
      </c>
      <c r="DH284" s="310">
        <v>1100</v>
      </c>
      <c r="DI284" s="21">
        <v>112.5</v>
      </c>
      <c r="DJ284" s="310">
        <v>1220</v>
      </c>
      <c r="DK284" s="310">
        <v>1413</v>
      </c>
      <c r="DL284" s="66">
        <v>200000</v>
      </c>
      <c r="DM284" s="29" t="s">
        <v>15</v>
      </c>
      <c r="DN284" s="301" t="s">
        <v>4435</v>
      </c>
      <c r="DO284" s="306" t="s">
        <v>4565</v>
      </c>
    </row>
    <row r="285" spans="1:119">
      <c r="A285" s="301">
        <v>280</v>
      </c>
      <c r="B285" s="349"/>
      <c r="C285" s="349"/>
      <c r="D285" s="459"/>
      <c r="E285" s="374"/>
      <c r="F285" s="349"/>
      <c r="G285" s="369"/>
      <c r="H285" s="369"/>
      <c r="I285" s="369"/>
      <c r="J285" s="286" t="s">
        <v>6344</v>
      </c>
      <c r="K285" s="301" t="s">
        <v>4383</v>
      </c>
      <c r="L285" s="310" t="s">
        <v>5791</v>
      </c>
      <c r="M285" s="301" t="s">
        <v>4508</v>
      </c>
      <c r="N285" s="310" t="s">
        <v>4702</v>
      </c>
      <c r="O285" s="18" t="s">
        <v>4506</v>
      </c>
      <c r="P285" s="310" t="s">
        <v>6317</v>
      </c>
      <c r="Q285" s="310" t="s">
        <v>4420</v>
      </c>
      <c r="R285" s="310" t="s">
        <v>4420</v>
      </c>
      <c r="S285" s="310" t="s">
        <v>5791</v>
      </c>
      <c r="T285" s="59" t="s">
        <v>4420</v>
      </c>
      <c r="U285" s="59" t="s">
        <v>5791</v>
      </c>
      <c r="V285" s="59" t="s">
        <v>4420</v>
      </c>
      <c r="W285" s="59" t="s">
        <v>5791</v>
      </c>
      <c r="X285" s="310" t="s">
        <v>4420</v>
      </c>
      <c r="Y285" s="310" t="s">
        <v>5791</v>
      </c>
      <c r="Z285" s="310" t="s">
        <v>6050</v>
      </c>
      <c r="AA285" s="18">
        <v>10</v>
      </c>
      <c r="AB285" s="223">
        <v>0</v>
      </c>
      <c r="AC285" s="18">
        <v>0</v>
      </c>
      <c r="AD285" s="301" t="s">
        <v>6340</v>
      </c>
      <c r="AE285" s="21">
        <f>INDEX('[2]Cross-Section Database'!$C$2:$V$2928,MATCH(AD285,'[2]Cross-Section Database'!$B$2:$B$2928,0),3)</f>
        <v>340</v>
      </c>
      <c r="AF285" s="21">
        <f>INDEX('[2]Cross-Section Database'!$C$2:$V$2928,MATCH(AD285,'[2]Cross-Section Database'!$B$2:$B$2928,0),4)</f>
        <v>310</v>
      </c>
      <c r="AG285" s="21">
        <f>INDEX('[2]Cross-Section Database'!$C$2:$V$2928,MATCH(AD285,'[2]Cross-Section Database'!$B$2:$B$2928,0),6)</f>
        <v>39</v>
      </c>
      <c r="AH285" s="21">
        <f>INDEX('[2]Cross-Section Database'!$C$2:$V$2928,MATCH(AD285,'[2]Cross-Section Database'!$B$2:$B$2928,0),5)</f>
        <v>21</v>
      </c>
      <c r="AI285" s="21">
        <v>1540</v>
      </c>
      <c r="AJ285" s="301" t="s">
        <v>6341</v>
      </c>
      <c r="AK285" s="21">
        <f>INDEX('[2]Cross-Section Database'!$C$2:$V$2928,MATCH(AJ285,'[2]Cross-Section Database'!$B$2:$B$2928,0),3)</f>
        <v>310</v>
      </c>
      <c r="AL285" s="21">
        <f>INDEX('[2]Cross-Section Database'!$C$2:$V$2928,MATCH(AJ285,'[2]Cross-Section Database'!$B$2:$B$2928,0),4)</f>
        <v>300</v>
      </c>
      <c r="AM285" s="21">
        <f>INDEX('[2]Cross-Section Database'!$C$2:$V$2928,MATCH(AJ285,'[2]Cross-Section Database'!$B$2:$B$2928,0),6)</f>
        <v>15.5</v>
      </c>
      <c r="AN285" s="21">
        <f>INDEX('[2]Cross-Section Database'!$C$2:$V$2928,MATCH(AJ285,'[2]Cross-Section Database'!$B$2:$B$2928,0),5)</f>
        <v>9</v>
      </c>
      <c r="AO285" s="21">
        <v>1300</v>
      </c>
      <c r="AP285" s="21">
        <f>INDEX('[2]Cross-Section Database'!$C$2:$V$3928,MATCH(AJ285,'[2]Cross-Section Database'!$B$2:$B$3928,0),11)</f>
        <v>229300000</v>
      </c>
      <c r="AQ285" s="24">
        <f>INDEX('[2]Cross-Section Database'!$C$2:$V$3928,MATCH(AJ285,'[2]Cross-Section Database'!$B$2:$B$3928,0),12)</f>
        <v>1628000</v>
      </c>
      <c r="AR285" s="21">
        <v>14.64</v>
      </c>
      <c r="AS285" s="21">
        <v>300</v>
      </c>
      <c r="AT285" s="21">
        <v>310</v>
      </c>
      <c r="AU285" s="21">
        <v>0</v>
      </c>
      <c r="AV285" s="21">
        <v>0</v>
      </c>
      <c r="AW285" s="301" t="s">
        <v>5806</v>
      </c>
      <c r="AX285" s="310" t="s">
        <v>4498</v>
      </c>
      <c r="AY285" s="21">
        <f t="shared" si="155"/>
        <v>75.365499999999997</v>
      </c>
      <c r="AZ285" s="310">
        <v>24</v>
      </c>
      <c r="BA285" s="310">
        <f t="shared" si="135"/>
        <v>353</v>
      </c>
      <c r="BB285" s="21">
        <v>75</v>
      </c>
      <c r="BC285" s="21">
        <v>75</v>
      </c>
      <c r="BD285" s="21">
        <v>0</v>
      </c>
      <c r="BE285" s="21">
        <v>150</v>
      </c>
      <c r="BF285" s="21">
        <v>160</v>
      </c>
      <c r="BG285" s="15" t="s">
        <v>6318</v>
      </c>
      <c r="BH285" s="310" t="s">
        <v>6204</v>
      </c>
      <c r="BI285" s="310" t="s">
        <v>6204</v>
      </c>
      <c r="BJ285" s="310">
        <v>2</v>
      </c>
      <c r="BK285" s="310">
        <v>4</v>
      </c>
      <c r="BL285" s="196" t="s">
        <v>5791</v>
      </c>
      <c r="BM285" s="197" t="s">
        <v>5791</v>
      </c>
      <c r="BN285" s="197" t="s">
        <v>5791</v>
      </c>
      <c r="BO285" s="197" t="s">
        <v>5791</v>
      </c>
      <c r="BP285" s="197" t="s">
        <v>5791</v>
      </c>
      <c r="BQ285" s="197" t="s">
        <v>5791</v>
      </c>
      <c r="BR285" s="197" t="s">
        <v>5791</v>
      </c>
      <c r="BS285" s="197" t="s">
        <v>5791</v>
      </c>
      <c r="BT285" s="196" t="s">
        <v>5791</v>
      </c>
      <c r="BU285" s="197" t="s">
        <v>5791</v>
      </c>
      <c r="BV285" s="197" t="s">
        <v>5791</v>
      </c>
      <c r="BW285" s="197" t="s">
        <v>5791</v>
      </c>
      <c r="BX285" s="197" t="s">
        <v>5791</v>
      </c>
      <c r="BY285" s="197" t="s">
        <v>5791</v>
      </c>
      <c r="BZ285" s="212" t="s">
        <v>5791</v>
      </c>
      <c r="CA285" s="197" t="s">
        <v>5791</v>
      </c>
      <c r="CB285" s="197" t="s">
        <v>5791</v>
      </c>
      <c r="CC285" s="197" t="s">
        <v>5791</v>
      </c>
      <c r="CD285" s="197" t="s">
        <v>5791</v>
      </c>
      <c r="CE285" s="197" t="s">
        <v>5791</v>
      </c>
      <c r="CF285" s="212" t="s">
        <v>5791</v>
      </c>
      <c r="CG285" s="301" t="s">
        <v>5971</v>
      </c>
      <c r="CH285" s="310">
        <v>355</v>
      </c>
      <c r="CI285" s="33">
        <f t="shared" si="156"/>
        <v>390.50000000000006</v>
      </c>
      <c r="CJ285" s="62">
        <v>470</v>
      </c>
      <c r="CK285" s="33">
        <f t="shared" si="157"/>
        <v>517</v>
      </c>
      <c r="CL285" s="66">
        <v>200000</v>
      </c>
      <c r="CM285" s="301" t="s">
        <v>5971</v>
      </c>
      <c r="CN285" s="59">
        <v>355</v>
      </c>
      <c r="CO285" s="33">
        <f t="shared" si="158"/>
        <v>390.50000000000006</v>
      </c>
      <c r="CP285" s="59">
        <v>470</v>
      </c>
      <c r="CQ285" s="33">
        <f t="shared" si="159"/>
        <v>517</v>
      </c>
      <c r="CR285" s="66">
        <v>200000</v>
      </c>
      <c r="CS285" s="301" t="s">
        <v>6343</v>
      </c>
      <c r="CT285" s="21">
        <v>690</v>
      </c>
      <c r="CU285" s="21">
        <v>774</v>
      </c>
      <c r="CV285" s="21">
        <v>770</v>
      </c>
      <c r="CW285" s="21">
        <v>814</v>
      </c>
      <c r="CX285" s="68">
        <v>206400</v>
      </c>
      <c r="CY285" s="201" t="s">
        <v>5791</v>
      </c>
      <c r="CZ285" s="202" t="s">
        <v>5791</v>
      </c>
      <c r="DA285" s="202" t="s">
        <v>5791</v>
      </c>
      <c r="DB285" s="203" t="s">
        <v>5791</v>
      </c>
      <c r="DC285" s="201" t="s">
        <v>5791</v>
      </c>
      <c r="DD285" s="202" t="s">
        <v>5791</v>
      </c>
      <c r="DE285" s="203" t="s">
        <v>5791</v>
      </c>
      <c r="DF285" s="274" t="s">
        <v>5791</v>
      </c>
      <c r="DG285" s="310">
        <v>12.9</v>
      </c>
      <c r="DH285" s="310">
        <v>1100</v>
      </c>
      <c r="DI285" s="21">
        <v>112.5</v>
      </c>
      <c r="DJ285" s="310">
        <v>1220</v>
      </c>
      <c r="DK285" s="310">
        <v>1413</v>
      </c>
      <c r="DL285" s="66">
        <v>200000</v>
      </c>
      <c r="DM285" s="29" t="s">
        <v>15</v>
      </c>
      <c r="DN285" s="301" t="s">
        <v>4435</v>
      </c>
      <c r="DO285" s="306" t="s">
        <v>4565</v>
      </c>
    </row>
    <row r="286" spans="1:119">
      <c r="A286" s="301">
        <v>281</v>
      </c>
      <c r="B286" s="349"/>
      <c r="C286" s="349"/>
      <c r="D286" s="459"/>
      <c r="E286" s="374"/>
      <c r="F286" s="349"/>
      <c r="G286" s="369"/>
      <c r="H286" s="369"/>
      <c r="I286" s="369"/>
      <c r="J286" s="286" t="s">
        <v>4792</v>
      </c>
      <c r="K286" s="301" t="s">
        <v>4383</v>
      </c>
      <c r="L286" s="310" t="s">
        <v>5791</v>
      </c>
      <c r="M286" s="301" t="s">
        <v>4508</v>
      </c>
      <c r="N286" s="310" t="s">
        <v>4702</v>
      </c>
      <c r="O286" s="18" t="s">
        <v>4506</v>
      </c>
      <c r="P286" s="310" t="s">
        <v>6317</v>
      </c>
      <c r="Q286" s="310" t="s">
        <v>4420</v>
      </c>
      <c r="R286" s="310" t="s">
        <v>4420</v>
      </c>
      <c r="S286" s="310" t="s">
        <v>5791</v>
      </c>
      <c r="T286" s="59" t="s">
        <v>4420</v>
      </c>
      <c r="U286" s="59" t="s">
        <v>5791</v>
      </c>
      <c r="V286" s="59" t="s">
        <v>4420</v>
      </c>
      <c r="W286" s="59" t="s">
        <v>5791</v>
      </c>
      <c r="X286" s="310" t="s">
        <v>4420</v>
      </c>
      <c r="Y286" s="310" t="s">
        <v>5791</v>
      </c>
      <c r="Z286" s="310" t="s">
        <v>6050</v>
      </c>
      <c r="AA286" s="18">
        <v>10</v>
      </c>
      <c r="AB286" s="223">
        <v>0</v>
      </c>
      <c r="AC286" s="18">
        <v>0</v>
      </c>
      <c r="AD286" s="301" t="s">
        <v>6340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1" t="s">
        <v>6341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10.15</v>
      </c>
      <c r="AS286" s="21">
        <v>300</v>
      </c>
      <c r="AT286" s="21">
        <v>360</v>
      </c>
      <c r="AU286" s="21">
        <v>25</v>
      </c>
      <c r="AV286" s="21">
        <v>25</v>
      </c>
      <c r="AW286" s="301" t="s">
        <v>5806</v>
      </c>
      <c r="AX286" s="310" t="s">
        <v>4498</v>
      </c>
      <c r="AY286" s="21">
        <f t="shared" si="155"/>
        <v>75.365499999999997</v>
      </c>
      <c r="AZ286" s="310">
        <v>24</v>
      </c>
      <c r="BA286" s="310">
        <f t="shared" si="135"/>
        <v>353</v>
      </c>
      <c r="BB286" s="21">
        <v>100</v>
      </c>
      <c r="BC286" s="21">
        <v>100</v>
      </c>
      <c r="BD286" s="21">
        <v>0</v>
      </c>
      <c r="BE286" s="21">
        <v>150</v>
      </c>
      <c r="BF286" s="21">
        <v>160</v>
      </c>
      <c r="BG286" s="15" t="s">
        <v>6318</v>
      </c>
      <c r="BH286" s="310" t="s">
        <v>6204</v>
      </c>
      <c r="BI286" s="310" t="s">
        <v>6204</v>
      </c>
      <c r="BJ286" s="310">
        <v>2</v>
      </c>
      <c r="BK286" s="310">
        <v>4</v>
      </c>
      <c r="BL286" s="196" t="s">
        <v>5791</v>
      </c>
      <c r="BM286" s="197" t="s">
        <v>5791</v>
      </c>
      <c r="BN286" s="197" t="s">
        <v>5791</v>
      </c>
      <c r="BO286" s="197" t="s">
        <v>5791</v>
      </c>
      <c r="BP286" s="197" t="s">
        <v>5791</v>
      </c>
      <c r="BQ286" s="197" t="s">
        <v>5791</v>
      </c>
      <c r="BR286" s="197" t="s">
        <v>5791</v>
      </c>
      <c r="BS286" s="197" t="s">
        <v>5791</v>
      </c>
      <c r="BT286" s="196" t="s">
        <v>5791</v>
      </c>
      <c r="BU286" s="197" t="s">
        <v>5791</v>
      </c>
      <c r="BV286" s="197" t="s">
        <v>5791</v>
      </c>
      <c r="BW286" s="197" t="s">
        <v>5791</v>
      </c>
      <c r="BX286" s="197" t="s">
        <v>5791</v>
      </c>
      <c r="BY286" s="197" t="s">
        <v>5791</v>
      </c>
      <c r="BZ286" s="212" t="s">
        <v>5791</v>
      </c>
      <c r="CA286" s="197" t="s">
        <v>5791</v>
      </c>
      <c r="CB286" s="197" t="s">
        <v>5791</v>
      </c>
      <c r="CC286" s="197" t="s">
        <v>5791</v>
      </c>
      <c r="CD286" s="197" t="s">
        <v>5791</v>
      </c>
      <c r="CE286" s="197" t="s">
        <v>5791</v>
      </c>
      <c r="CF286" s="212" t="s">
        <v>5791</v>
      </c>
      <c r="CG286" s="301" t="s">
        <v>5971</v>
      </c>
      <c r="CH286" s="310">
        <v>355</v>
      </c>
      <c r="CI286" s="33">
        <f t="shared" si="156"/>
        <v>390.50000000000006</v>
      </c>
      <c r="CJ286" s="62">
        <v>470</v>
      </c>
      <c r="CK286" s="33">
        <f t="shared" si="157"/>
        <v>517</v>
      </c>
      <c r="CL286" s="66">
        <v>200000</v>
      </c>
      <c r="CM286" s="301" t="s">
        <v>5971</v>
      </c>
      <c r="CN286" s="59">
        <v>355</v>
      </c>
      <c r="CO286" s="33">
        <f t="shared" si="158"/>
        <v>390.50000000000006</v>
      </c>
      <c r="CP286" s="59">
        <v>470</v>
      </c>
      <c r="CQ286" s="33">
        <f t="shared" si="159"/>
        <v>517</v>
      </c>
      <c r="CR286" s="66">
        <v>200000</v>
      </c>
      <c r="CS286" s="301" t="s">
        <v>4385</v>
      </c>
      <c r="CT286" s="21">
        <v>690</v>
      </c>
      <c r="CU286" s="21">
        <v>697.8</v>
      </c>
      <c r="CV286" s="21">
        <v>770</v>
      </c>
      <c r="CW286" s="21">
        <f>CU286/0.93</f>
        <v>750.32258064516122</v>
      </c>
      <c r="CX286" s="68">
        <v>205900</v>
      </c>
      <c r="CY286" s="201" t="s">
        <v>5791</v>
      </c>
      <c r="CZ286" s="202" t="s">
        <v>5791</v>
      </c>
      <c r="DA286" s="202" t="s">
        <v>5791</v>
      </c>
      <c r="DB286" s="203" t="s">
        <v>5791</v>
      </c>
      <c r="DC286" s="201" t="s">
        <v>5791</v>
      </c>
      <c r="DD286" s="202" t="s">
        <v>5791</v>
      </c>
      <c r="DE286" s="203" t="s">
        <v>5791</v>
      </c>
      <c r="DF286" s="274" t="s">
        <v>5791</v>
      </c>
      <c r="DG286" s="310">
        <v>12.9</v>
      </c>
      <c r="DH286" s="310">
        <v>1100</v>
      </c>
      <c r="DI286" s="21">
        <v>112.5</v>
      </c>
      <c r="DJ286" s="310">
        <v>1220</v>
      </c>
      <c r="DK286" s="310">
        <v>1413</v>
      </c>
      <c r="DL286" s="66">
        <v>200000</v>
      </c>
      <c r="DM286" s="29" t="s">
        <v>5838</v>
      </c>
      <c r="DN286" s="301" t="s">
        <v>4435</v>
      </c>
      <c r="DO286" s="306" t="s">
        <v>4565</v>
      </c>
    </row>
    <row r="287" spans="1:119">
      <c r="A287" s="301">
        <v>282</v>
      </c>
      <c r="B287" s="349"/>
      <c r="C287" s="349"/>
      <c r="D287" s="459"/>
      <c r="E287" s="374"/>
      <c r="F287" s="349"/>
      <c r="G287" s="369"/>
      <c r="H287" s="369"/>
      <c r="I287" s="369"/>
      <c r="J287" s="286" t="s">
        <v>6345</v>
      </c>
      <c r="K287" s="301" t="s">
        <v>4383</v>
      </c>
      <c r="L287" s="310" t="s">
        <v>5791</v>
      </c>
      <c r="M287" s="301" t="s">
        <v>4508</v>
      </c>
      <c r="N287" s="310" t="s">
        <v>4702</v>
      </c>
      <c r="O287" s="18" t="s">
        <v>4506</v>
      </c>
      <c r="P287" s="310" t="s">
        <v>6317</v>
      </c>
      <c r="Q287" s="310" t="s">
        <v>4420</v>
      </c>
      <c r="R287" s="310" t="s">
        <v>4420</v>
      </c>
      <c r="S287" s="310" t="s">
        <v>5791</v>
      </c>
      <c r="T287" s="59" t="s">
        <v>4420</v>
      </c>
      <c r="U287" s="59" t="s">
        <v>5791</v>
      </c>
      <c r="V287" s="59" t="s">
        <v>4420</v>
      </c>
      <c r="W287" s="59" t="s">
        <v>5791</v>
      </c>
      <c r="X287" s="310" t="s">
        <v>4420</v>
      </c>
      <c r="Y287" s="310" t="s">
        <v>5791</v>
      </c>
      <c r="Z287" s="310" t="s">
        <v>6050</v>
      </c>
      <c r="AA287" s="18">
        <v>10</v>
      </c>
      <c r="AB287" s="223">
        <v>0</v>
      </c>
      <c r="AC287" s="18">
        <v>0</v>
      </c>
      <c r="AD287" s="301" t="s">
        <v>6340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1" t="s">
        <v>6341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10.25</v>
      </c>
      <c r="AS287" s="21">
        <v>300</v>
      </c>
      <c r="AT287" s="21">
        <v>310</v>
      </c>
      <c r="AU287" s="21">
        <v>0</v>
      </c>
      <c r="AV287" s="21">
        <v>0</v>
      </c>
      <c r="AW287" s="301" t="s">
        <v>5806</v>
      </c>
      <c r="AX287" s="310" t="s">
        <v>4498</v>
      </c>
      <c r="AY287" s="21">
        <f t="shared" si="155"/>
        <v>75.365499999999997</v>
      </c>
      <c r="AZ287" s="310">
        <v>24</v>
      </c>
      <c r="BA287" s="310">
        <f t="shared" si="135"/>
        <v>353</v>
      </c>
      <c r="BB287" s="21">
        <v>75</v>
      </c>
      <c r="BC287" s="21">
        <v>75</v>
      </c>
      <c r="BD287" s="21">
        <v>0</v>
      </c>
      <c r="BE287" s="21">
        <v>150</v>
      </c>
      <c r="BF287" s="21">
        <v>160</v>
      </c>
      <c r="BG287" s="15" t="s">
        <v>6318</v>
      </c>
      <c r="BH287" s="310" t="s">
        <v>6204</v>
      </c>
      <c r="BI287" s="310" t="s">
        <v>6204</v>
      </c>
      <c r="BJ287" s="310">
        <v>2</v>
      </c>
      <c r="BK287" s="310">
        <v>4</v>
      </c>
      <c r="BL287" s="196" t="s">
        <v>5791</v>
      </c>
      <c r="BM287" s="197" t="s">
        <v>5791</v>
      </c>
      <c r="BN287" s="197" t="s">
        <v>5791</v>
      </c>
      <c r="BO287" s="197" t="s">
        <v>5791</v>
      </c>
      <c r="BP287" s="197" t="s">
        <v>5791</v>
      </c>
      <c r="BQ287" s="197" t="s">
        <v>5791</v>
      </c>
      <c r="BR287" s="197" t="s">
        <v>5791</v>
      </c>
      <c r="BS287" s="197" t="s">
        <v>5791</v>
      </c>
      <c r="BT287" s="196" t="s">
        <v>5791</v>
      </c>
      <c r="BU287" s="197" t="s">
        <v>5791</v>
      </c>
      <c r="BV287" s="197" t="s">
        <v>5791</v>
      </c>
      <c r="BW287" s="197" t="s">
        <v>5791</v>
      </c>
      <c r="BX287" s="197" t="s">
        <v>5791</v>
      </c>
      <c r="BY287" s="197" t="s">
        <v>5791</v>
      </c>
      <c r="BZ287" s="212" t="s">
        <v>5791</v>
      </c>
      <c r="CA287" s="197" t="s">
        <v>5791</v>
      </c>
      <c r="CB287" s="197" t="s">
        <v>5791</v>
      </c>
      <c r="CC287" s="197" t="s">
        <v>5791</v>
      </c>
      <c r="CD287" s="197" t="s">
        <v>5791</v>
      </c>
      <c r="CE287" s="197" t="s">
        <v>5791</v>
      </c>
      <c r="CF287" s="212" t="s">
        <v>5791</v>
      </c>
      <c r="CG287" s="301" t="s">
        <v>5971</v>
      </c>
      <c r="CH287" s="310">
        <v>355</v>
      </c>
      <c r="CI287" s="33">
        <f t="shared" si="156"/>
        <v>390.50000000000006</v>
      </c>
      <c r="CJ287" s="62">
        <v>470</v>
      </c>
      <c r="CK287" s="33">
        <f t="shared" si="157"/>
        <v>517</v>
      </c>
      <c r="CL287" s="66">
        <v>200000</v>
      </c>
      <c r="CM287" s="301" t="s">
        <v>5971</v>
      </c>
      <c r="CN287" s="59">
        <v>355</v>
      </c>
      <c r="CO287" s="33">
        <f t="shared" si="158"/>
        <v>390.50000000000006</v>
      </c>
      <c r="CP287" s="59">
        <v>470</v>
      </c>
      <c r="CQ287" s="33">
        <f t="shared" si="159"/>
        <v>517</v>
      </c>
      <c r="CR287" s="66">
        <v>200000</v>
      </c>
      <c r="CS287" s="301" t="s">
        <v>4385</v>
      </c>
      <c r="CT287" s="21">
        <v>690</v>
      </c>
      <c r="CU287" s="21">
        <v>697.8</v>
      </c>
      <c r="CV287" s="21">
        <v>770</v>
      </c>
      <c r="CW287" s="21">
        <f>CU287/0.93</f>
        <v>750.32258064516122</v>
      </c>
      <c r="CX287" s="68">
        <v>205900</v>
      </c>
      <c r="CY287" s="201" t="s">
        <v>5791</v>
      </c>
      <c r="CZ287" s="202" t="s">
        <v>5791</v>
      </c>
      <c r="DA287" s="202" t="s">
        <v>5791</v>
      </c>
      <c r="DB287" s="203" t="s">
        <v>5791</v>
      </c>
      <c r="DC287" s="201" t="s">
        <v>5791</v>
      </c>
      <c r="DD287" s="202" t="s">
        <v>5791</v>
      </c>
      <c r="DE287" s="203" t="s">
        <v>5791</v>
      </c>
      <c r="DF287" s="274" t="s">
        <v>5791</v>
      </c>
      <c r="DG287" s="310">
        <v>12.9</v>
      </c>
      <c r="DH287" s="310">
        <v>1100</v>
      </c>
      <c r="DI287" s="21">
        <v>112.5</v>
      </c>
      <c r="DJ287" s="310">
        <v>1220</v>
      </c>
      <c r="DK287" s="310">
        <v>1413</v>
      </c>
      <c r="DL287" s="66">
        <v>200000</v>
      </c>
      <c r="DM287" s="29" t="s">
        <v>5838</v>
      </c>
      <c r="DN287" s="301" t="s">
        <v>4435</v>
      </c>
      <c r="DO287" s="306" t="s">
        <v>4565</v>
      </c>
    </row>
    <row r="288" spans="1:119">
      <c r="A288" s="301">
        <v>283</v>
      </c>
      <c r="B288" s="349"/>
      <c r="C288" s="349"/>
      <c r="D288" s="459"/>
      <c r="E288" s="374"/>
      <c r="F288" s="349"/>
      <c r="G288" s="369"/>
      <c r="H288" s="369"/>
      <c r="I288" s="369"/>
      <c r="J288" s="286" t="s">
        <v>4826</v>
      </c>
      <c r="K288" s="301" t="s">
        <v>4383</v>
      </c>
      <c r="L288" s="310" t="s">
        <v>5791</v>
      </c>
      <c r="M288" s="301" t="s">
        <v>4508</v>
      </c>
      <c r="N288" s="310" t="s">
        <v>4702</v>
      </c>
      <c r="O288" s="18" t="s">
        <v>4506</v>
      </c>
      <c r="P288" s="310" t="s">
        <v>6317</v>
      </c>
      <c r="Q288" s="310" t="s">
        <v>4420</v>
      </c>
      <c r="R288" s="310" t="s">
        <v>4420</v>
      </c>
      <c r="S288" s="310" t="s">
        <v>5791</v>
      </c>
      <c r="T288" s="59" t="s">
        <v>4420</v>
      </c>
      <c r="U288" s="59" t="s">
        <v>5791</v>
      </c>
      <c r="V288" s="59" t="s">
        <v>4420</v>
      </c>
      <c r="W288" s="59" t="s">
        <v>5791</v>
      </c>
      <c r="X288" s="310" t="s">
        <v>4420</v>
      </c>
      <c r="Y288" s="310" t="s">
        <v>5791</v>
      </c>
      <c r="Z288" s="310" t="s">
        <v>6050</v>
      </c>
      <c r="AA288" s="18">
        <v>10</v>
      </c>
      <c r="AB288" s="223">
        <v>0</v>
      </c>
      <c r="AC288" s="18">
        <v>0</v>
      </c>
      <c r="AD288" s="301" t="s">
        <v>6340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1" t="s">
        <v>6341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10.15</v>
      </c>
      <c r="AS288" s="21">
        <v>300</v>
      </c>
      <c r="AT288" s="21">
        <v>360</v>
      </c>
      <c r="AU288" s="21">
        <v>25</v>
      </c>
      <c r="AV288" s="21">
        <v>25</v>
      </c>
      <c r="AW288" s="301" t="s">
        <v>5806</v>
      </c>
      <c r="AX288" s="310" t="s">
        <v>4498</v>
      </c>
      <c r="AY288" s="21">
        <f t="shared" si="155"/>
        <v>75.365499999999997</v>
      </c>
      <c r="AZ288" s="310">
        <v>24</v>
      </c>
      <c r="BA288" s="310">
        <f t="shared" si="135"/>
        <v>353</v>
      </c>
      <c r="BB288" s="21">
        <v>100</v>
      </c>
      <c r="BC288" s="21">
        <v>100</v>
      </c>
      <c r="BD288" s="21">
        <v>0</v>
      </c>
      <c r="BE288" s="21">
        <v>150</v>
      </c>
      <c r="BF288" s="21">
        <v>160</v>
      </c>
      <c r="BG288" s="15" t="s">
        <v>6318</v>
      </c>
      <c r="BH288" s="310" t="s">
        <v>6204</v>
      </c>
      <c r="BI288" s="310" t="s">
        <v>6204</v>
      </c>
      <c r="BJ288" s="310">
        <v>2</v>
      </c>
      <c r="BK288" s="310">
        <v>4</v>
      </c>
      <c r="BL288" s="196" t="s">
        <v>5791</v>
      </c>
      <c r="BM288" s="197" t="s">
        <v>5791</v>
      </c>
      <c r="BN288" s="197" t="s">
        <v>5791</v>
      </c>
      <c r="BO288" s="197" t="s">
        <v>5791</v>
      </c>
      <c r="BP288" s="197" t="s">
        <v>5791</v>
      </c>
      <c r="BQ288" s="197" t="s">
        <v>5791</v>
      </c>
      <c r="BR288" s="197" t="s">
        <v>5791</v>
      </c>
      <c r="BS288" s="197" t="s">
        <v>5791</v>
      </c>
      <c r="BT288" s="196" t="s">
        <v>5791</v>
      </c>
      <c r="BU288" s="197" t="s">
        <v>5791</v>
      </c>
      <c r="BV288" s="197" t="s">
        <v>5791</v>
      </c>
      <c r="BW288" s="197" t="s">
        <v>5791</v>
      </c>
      <c r="BX288" s="197" t="s">
        <v>5791</v>
      </c>
      <c r="BY288" s="197" t="s">
        <v>5791</v>
      </c>
      <c r="BZ288" s="212" t="s">
        <v>5791</v>
      </c>
      <c r="CA288" s="197" t="s">
        <v>5791</v>
      </c>
      <c r="CB288" s="197" t="s">
        <v>5791</v>
      </c>
      <c r="CC288" s="197" t="s">
        <v>5791</v>
      </c>
      <c r="CD288" s="197" t="s">
        <v>5791</v>
      </c>
      <c r="CE288" s="197" t="s">
        <v>5791</v>
      </c>
      <c r="CF288" s="212" t="s">
        <v>5791</v>
      </c>
      <c r="CG288" s="301" t="s">
        <v>5971</v>
      </c>
      <c r="CH288" s="310">
        <v>355</v>
      </c>
      <c r="CI288" s="33">
        <f t="shared" si="156"/>
        <v>390.50000000000006</v>
      </c>
      <c r="CJ288" s="62">
        <v>470</v>
      </c>
      <c r="CK288" s="33">
        <f t="shared" si="157"/>
        <v>517</v>
      </c>
      <c r="CL288" s="66">
        <v>200000</v>
      </c>
      <c r="CM288" s="301" t="s">
        <v>5971</v>
      </c>
      <c r="CN288" s="59">
        <v>355</v>
      </c>
      <c r="CO288" s="33">
        <f t="shared" si="158"/>
        <v>390.50000000000006</v>
      </c>
      <c r="CP288" s="59">
        <v>470</v>
      </c>
      <c r="CQ288" s="33">
        <f t="shared" si="159"/>
        <v>517</v>
      </c>
      <c r="CR288" s="66">
        <v>200000</v>
      </c>
      <c r="CS288" s="301" t="s">
        <v>4830</v>
      </c>
      <c r="CT288" s="21">
        <v>960</v>
      </c>
      <c r="CU288" s="21">
        <v>951.7</v>
      </c>
      <c r="CV288" s="21">
        <v>1050</v>
      </c>
      <c r="CW288" s="21">
        <v>1051</v>
      </c>
      <c r="CX288" s="68">
        <v>201800</v>
      </c>
      <c r="CY288" s="201" t="s">
        <v>5791</v>
      </c>
      <c r="CZ288" s="202" t="s">
        <v>5791</v>
      </c>
      <c r="DA288" s="202" t="s">
        <v>5791</v>
      </c>
      <c r="DB288" s="203" t="s">
        <v>5791</v>
      </c>
      <c r="DC288" s="201" t="s">
        <v>5791</v>
      </c>
      <c r="DD288" s="202" t="s">
        <v>5791</v>
      </c>
      <c r="DE288" s="203" t="s">
        <v>5791</v>
      </c>
      <c r="DF288" s="274" t="s">
        <v>5791</v>
      </c>
      <c r="DG288" s="310">
        <v>12.9</v>
      </c>
      <c r="DH288" s="310">
        <v>1100</v>
      </c>
      <c r="DI288" s="21">
        <v>112.5</v>
      </c>
      <c r="DJ288" s="310">
        <v>1220</v>
      </c>
      <c r="DK288" s="310">
        <v>1413</v>
      </c>
      <c r="DL288" s="66">
        <v>200000</v>
      </c>
      <c r="DM288" s="29" t="s">
        <v>15</v>
      </c>
      <c r="DN288" s="301" t="s">
        <v>4435</v>
      </c>
      <c r="DO288" s="306" t="s">
        <v>4565</v>
      </c>
    </row>
    <row r="289" spans="1:119">
      <c r="A289" s="301">
        <v>284</v>
      </c>
      <c r="B289" s="349"/>
      <c r="C289" s="349"/>
      <c r="D289" s="459"/>
      <c r="E289" s="374"/>
      <c r="F289" s="349"/>
      <c r="G289" s="369"/>
      <c r="H289" s="369"/>
      <c r="I289" s="369"/>
      <c r="J289" s="286" t="s">
        <v>4827</v>
      </c>
      <c r="K289" s="301" t="s">
        <v>4383</v>
      </c>
      <c r="L289" s="310" t="s">
        <v>5791</v>
      </c>
      <c r="M289" s="301" t="s">
        <v>4508</v>
      </c>
      <c r="N289" s="310" t="s">
        <v>4702</v>
      </c>
      <c r="O289" s="18" t="s">
        <v>4506</v>
      </c>
      <c r="P289" s="310" t="s">
        <v>6317</v>
      </c>
      <c r="Q289" s="310" t="s">
        <v>4420</v>
      </c>
      <c r="R289" s="310" t="s">
        <v>4420</v>
      </c>
      <c r="S289" s="310" t="s">
        <v>5791</v>
      </c>
      <c r="T289" s="59" t="s">
        <v>4420</v>
      </c>
      <c r="U289" s="59" t="s">
        <v>5791</v>
      </c>
      <c r="V289" s="59" t="s">
        <v>4420</v>
      </c>
      <c r="W289" s="59" t="s">
        <v>5791</v>
      </c>
      <c r="X289" s="310" t="s">
        <v>4420</v>
      </c>
      <c r="Y289" s="310" t="s">
        <v>5791</v>
      </c>
      <c r="Z289" s="310" t="s">
        <v>6050</v>
      </c>
      <c r="AA289" s="18">
        <v>10</v>
      </c>
      <c r="AB289" s="223">
        <v>0</v>
      </c>
      <c r="AC289" s="18">
        <v>0</v>
      </c>
      <c r="AD289" s="301" t="s">
        <v>6340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1" t="s">
        <v>6341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10.25</v>
      </c>
      <c r="AS289" s="21">
        <v>300</v>
      </c>
      <c r="AT289" s="21">
        <v>310</v>
      </c>
      <c r="AU289" s="21">
        <v>0</v>
      </c>
      <c r="AV289" s="21">
        <v>0</v>
      </c>
      <c r="AW289" s="301" t="s">
        <v>5806</v>
      </c>
      <c r="AX289" s="310" t="s">
        <v>4498</v>
      </c>
      <c r="AY289" s="21">
        <f t="shared" si="155"/>
        <v>75.365499999999997</v>
      </c>
      <c r="AZ289" s="310">
        <v>24</v>
      </c>
      <c r="BA289" s="310">
        <f t="shared" si="135"/>
        <v>353</v>
      </c>
      <c r="BB289" s="21">
        <v>75</v>
      </c>
      <c r="BC289" s="21">
        <v>75</v>
      </c>
      <c r="BD289" s="21">
        <v>0</v>
      </c>
      <c r="BE289" s="21">
        <v>150</v>
      </c>
      <c r="BF289" s="21">
        <v>160</v>
      </c>
      <c r="BG289" s="15" t="s">
        <v>6318</v>
      </c>
      <c r="BH289" s="310" t="s">
        <v>6204</v>
      </c>
      <c r="BI289" s="310" t="s">
        <v>6204</v>
      </c>
      <c r="BJ289" s="310">
        <v>2</v>
      </c>
      <c r="BK289" s="310">
        <v>4</v>
      </c>
      <c r="BL289" s="196" t="s">
        <v>5791</v>
      </c>
      <c r="BM289" s="197" t="s">
        <v>5791</v>
      </c>
      <c r="BN289" s="197" t="s">
        <v>5791</v>
      </c>
      <c r="BO289" s="197" t="s">
        <v>5791</v>
      </c>
      <c r="BP289" s="197" t="s">
        <v>5791</v>
      </c>
      <c r="BQ289" s="197" t="s">
        <v>5791</v>
      </c>
      <c r="BR289" s="197" t="s">
        <v>5791</v>
      </c>
      <c r="BS289" s="197" t="s">
        <v>5791</v>
      </c>
      <c r="BT289" s="196" t="s">
        <v>5791</v>
      </c>
      <c r="BU289" s="197" t="s">
        <v>5791</v>
      </c>
      <c r="BV289" s="197" t="s">
        <v>5791</v>
      </c>
      <c r="BW289" s="197" t="s">
        <v>5791</v>
      </c>
      <c r="BX289" s="197" t="s">
        <v>5791</v>
      </c>
      <c r="BY289" s="197" t="s">
        <v>5791</v>
      </c>
      <c r="BZ289" s="212" t="s">
        <v>5791</v>
      </c>
      <c r="CA289" s="197" t="s">
        <v>5791</v>
      </c>
      <c r="CB289" s="197" t="s">
        <v>5791</v>
      </c>
      <c r="CC289" s="197" t="s">
        <v>5791</v>
      </c>
      <c r="CD289" s="197" t="s">
        <v>5791</v>
      </c>
      <c r="CE289" s="197" t="s">
        <v>5791</v>
      </c>
      <c r="CF289" s="212" t="s">
        <v>5791</v>
      </c>
      <c r="CG289" s="301" t="s">
        <v>5971</v>
      </c>
      <c r="CH289" s="310">
        <v>355</v>
      </c>
      <c r="CI289" s="33">
        <f t="shared" si="156"/>
        <v>390.50000000000006</v>
      </c>
      <c r="CJ289" s="62">
        <v>470</v>
      </c>
      <c r="CK289" s="33">
        <f t="shared" si="157"/>
        <v>517</v>
      </c>
      <c r="CL289" s="66">
        <v>200000</v>
      </c>
      <c r="CM289" s="301" t="s">
        <v>5971</v>
      </c>
      <c r="CN289" s="59">
        <v>355</v>
      </c>
      <c r="CO289" s="33">
        <f t="shared" si="158"/>
        <v>390.50000000000006</v>
      </c>
      <c r="CP289" s="59">
        <v>470</v>
      </c>
      <c r="CQ289" s="33">
        <f t="shared" si="159"/>
        <v>517</v>
      </c>
      <c r="CR289" s="66">
        <v>200000</v>
      </c>
      <c r="CS289" s="301" t="s">
        <v>4830</v>
      </c>
      <c r="CT289" s="21">
        <v>960</v>
      </c>
      <c r="CU289" s="21">
        <v>951.7</v>
      </c>
      <c r="CV289" s="21">
        <v>1050</v>
      </c>
      <c r="CW289" s="21">
        <v>1051</v>
      </c>
      <c r="CX289" s="68">
        <v>201800</v>
      </c>
      <c r="CY289" s="201" t="s">
        <v>5791</v>
      </c>
      <c r="CZ289" s="202" t="s">
        <v>5791</v>
      </c>
      <c r="DA289" s="202" t="s">
        <v>5791</v>
      </c>
      <c r="DB289" s="203" t="s">
        <v>5791</v>
      </c>
      <c r="DC289" s="201" t="s">
        <v>5791</v>
      </c>
      <c r="DD289" s="202" t="s">
        <v>5791</v>
      </c>
      <c r="DE289" s="203" t="s">
        <v>5791</v>
      </c>
      <c r="DF289" s="274" t="s">
        <v>5791</v>
      </c>
      <c r="DG289" s="310">
        <v>12.9</v>
      </c>
      <c r="DH289" s="310">
        <v>1100</v>
      </c>
      <c r="DI289" s="21">
        <v>112.5</v>
      </c>
      <c r="DJ289" s="310">
        <v>1220</v>
      </c>
      <c r="DK289" s="310">
        <v>1413</v>
      </c>
      <c r="DL289" s="66">
        <v>200000</v>
      </c>
      <c r="DM289" s="29" t="s">
        <v>15</v>
      </c>
      <c r="DN289" s="301" t="s">
        <v>4435</v>
      </c>
      <c r="DO289" s="306" t="s">
        <v>4565</v>
      </c>
    </row>
    <row r="290" spans="1:119">
      <c r="A290" s="301">
        <v>285</v>
      </c>
      <c r="B290" s="349"/>
      <c r="C290" s="349"/>
      <c r="D290" s="459"/>
      <c r="E290" s="374"/>
      <c r="F290" s="349"/>
      <c r="G290" s="369"/>
      <c r="H290" s="369"/>
      <c r="I290" s="369"/>
      <c r="J290" s="286" t="s">
        <v>4828</v>
      </c>
      <c r="K290" s="301" t="s">
        <v>4383</v>
      </c>
      <c r="L290" s="310" t="s">
        <v>5791</v>
      </c>
      <c r="M290" s="301" t="s">
        <v>4508</v>
      </c>
      <c r="N290" s="310" t="s">
        <v>4702</v>
      </c>
      <c r="O290" s="18" t="s">
        <v>4506</v>
      </c>
      <c r="P290" s="310" t="s">
        <v>6317</v>
      </c>
      <c r="Q290" s="310" t="s">
        <v>4420</v>
      </c>
      <c r="R290" s="310" t="s">
        <v>4420</v>
      </c>
      <c r="S290" s="310" t="s">
        <v>5791</v>
      </c>
      <c r="T290" s="59" t="s">
        <v>4420</v>
      </c>
      <c r="U290" s="59" t="s">
        <v>5791</v>
      </c>
      <c r="V290" s="59" t="s">
        <v>4420</v>
      </c>
      <c r="W290" s="59" t="s">
        <v>5791</v>
      </c>
      <c r="X290" s="310" t="s">
        <v>4420</v>
      </c>
      <c r="Y290" s="310" t="s">
        <v>5791</v>
      </c>
      <c r="Z290" s="310" t="s">
        <v>6050</v>
      </c>
      <c r="AA290" s="18">
        <v>10</v>
      </c>
      <c r="AB290" s="223">
        <v>0</v>
      </c>
      <c r="AC290" s="18">
        <v>0</v>
      </c>
      <c r="AD290" s="301" t="s">
        <v>6340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1" t="s">
        <v>6341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1" t="s">
        <v>5806</v>
      </c>
      <c r="AX290" s="310" t="s">
        <v>4498</v>
      </c>
      <c r="AY290" s="21">
        <f t="shared" si="155"/>
        <v>66.669749999999979</v>
      </c>
      <c r="AZ290" s="310">
        <v>27</v>
      </c>
      <c r="BA290" s="310">
        <v>459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6318</v>
      </c>
      <c r="BH290" s="310" t="s">
        <v>6204</v>
      </c>
      <c r="BI290" s="310" t="s">
        <v>6204</v>
      </c>
      <c r="BJ290" s="310">
        <v>2</v>
      </c>
      <c r="BK290" s="310">
        <v>4</v>
      </c>
      <c r="BL290" s="196" t="s">
        <v>5791</v>
      </c>
      <c r="BM290" s="197" t="s">
        <v>5791</v>
      </c>
      <c r="BN290" s="197" t="s">
        <v>5791</v>
      </c>
      <c r="BO290" s="197" t="s">
        <v>5791</v>
      </c>
      <c r="BP290" s="197" t="s">
        <v>5791</v>
      </c>
      <c r="BQ290" s="197" t="s">
        <v>5791</v>
      </c>
      <c r="BR290" s="197" t="s">
        <v>5791</v>
      </c>
      <c r="BS290" s="197" t="s">
        <v>5791</v>
      </c>
      <c r="BT290" s="196" t="s">
        <v>5791</v>
      </c>
      <c r="BU290" s="197" t="s">
        <v>5791</v>
      </c>
      <c r="BV290" s="197" t="s">
        <v>5791</v>
      </c>
      <c r="BW290" s="197" t="s">
        <v>5791</v>
      </c>
      <c r="BX290" s="197" t="s">
        <v>5791</v>
      </c>
      <c r="BY290" s="197" t="s">
        <v>5791</v>
      </c>
      <c r="BZ290" s="212" t="s">
        <v>5791</v>
      </c>
      <c r="CA290" s="197" t="s">
        <v>5791</v>
      </c>
      <c r="CB290" s="197" t="s">
        <v>5791</v>
      </c>
      <c r="CC290" s="197" t="s">
        <v>5791</v>
      </c>
      <c r="CD290" s="197" t="s">
        <v>5791</v>
      </c>
      <c r="CE290" s="197" t="s">
        <v>5791</v>
      </c>
      <c r="CF290" s="212" t="s">
        <v>5791</v>
      </c>
      <c r="CG290" s="301" t="s">
        <v>5971</v>
      </c>
      <c r="CH290" s="310">
        <v>355</v>
      </c>
      <c r="CI290" s="33">
        <f t="shared" si="156"/>
        <v>390.50000000000006</v>
      </c>
      <c r="CJ290" s="62">
        <v>470</v>
      </c>
      <c r="CK290" s="33">
        <f t="shared" si="157"/>
        <v>517</v>
      </c>
      <c r="CL290" s="66">
        <v>200000</v>
      </c>
      <c r="CM290" s="301" t="s">
        <v>5971</v>
      </c>
      <c r="CN290" s="59">
        <v>355</v>
      </c>
      <c r="CO290" s="33">
        <f t="shared" si="158"/>
        <v>390.50000000000006</v>
      </c>
      <c r="CP290" s="59">
        <v>470</v>
      </c>
      <c r="CQ290" s="33">
        <f t="shared" si="159"/>
        <v>517</v>
      </c>
      <c r="CR290" s="66">
        <v>200000</v>
      </c>
      <c r="CS290" s="301" t="s">
        <v>4385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5791</v>
      </c>
      <c r="CZ290" s="202" t="s">
        <v>5791</v>
      </c>
      <c r="DA290" s="202" t="s">
        <v>5791</v>
      </c>
      <c r="DB290" s="203" t="s">
        <v>5791</v>
      </c>
      <c r="DC290" s="201" t="s">
        <v>5791</v>
      </c>
      <c r="DD290" s="202" t="s">
        <v>5791</v>
      </c>
      <c r="DE290" s="203" t="s">
        <v>5791</v>
      </c>
      <c r="DF290" s="274" t="s">
        <v>5791</v>
      </c>
      <c r="DG290" s="310">
        <v>8.8000000000000007</v>
      </c>
      <c r="DH290" s="310">
        <v>660</v>
      </c>
      <c r="DI290" s="21">
        <v>778.6</v>
      </c>
      <c r="DJ290" s="310">
        <v>830</v>
      </c>
      <c r="DK290" s="310">
        <v>1013</v>
      </c>
      <c r="DL290" s="66">
        <v>200000</v>
      </c>
      <c r="DM290" s="29" t="s">
        <v>4793</v>
      </c>
      <c r="DN290" s="301" t="s">
        <v>4435</v>
      </c>
      <c r="DO290" s="306" t="s">
        <v>4565</v>
      </c>
    </row>
    <row r="291" spans="1:119" ht="15.6" customHeight="1" thickBot="1">
      <c r="A291" s="301">
        <v>286</v>
      </c>
      <c r="B291" s="350"/>
      <c r="C291" s="350"/>
      <c r="D291" s="460"/>
      <c r="E291" s="375"/>
      <c r="F291" s="350"/>
      <c r="G291" s="370"/>
      <c r="H291" s="370"/>
      <c r="I291" s="370"/>
      <c r="J291" s="285" t="s">
        <v>4829</v>
      </c>
      <c r="K291" s="301" t="s">
        <v>4383</v>
      </c>
      <c r="L291" s="310" t="s">
        <v>5791</v>
      </c>
      <c r="M291" s="301" t="s">
        <v>4508</v>
      </c>
      <c r="N291" s="310" t="s">
        <v>4702</v>
      </c>
      <c r="O291" s="18" t="s">
        <v>4506</v>
      </c>
      <c r="P291" s="310" t="s">
        <v>6317</v>
      </c>
      <c r="Q291" s="310" t="s">
        <v>4420</v>
      </c>
      <c r="R291" s="310" t="s">
        <v>4420</v>
      </c>
      <c r="S291" s="310" t="s">
        <v>5791</v>
      </c>
      <c r="T291" s="59" t="s">
        <v>4420</v>
      </c>
      <c r="U291" s="59" t="s">
        <v>5791</v>
      </c>
      <c r="V291" s="59" t="s">
        <v>4420</v>
      </c>
      <c r="W291" s="59" t="s">
        <v>5791</v>
      </c>
      <c r="X291" s="310" t="s">
        <v>4420</v>
      </c>
      <c r="Y291" s="310" t="s">
        <v>5791</v>
      </c>
      <c r="Z291" s="310" t="s">
        <v>6050</v>
      </c>
      <c r="AA291" s="18">
        <v>10</v>
      </c>
      <c r="AB291" s="223">
        <v>0</v>
      </c>
      <c r="AC291" s="18">
        <v>0</v>
      </c>
      <c r="AD291" s="308" t="s">
        <v>6340</v>
      </c>
      <c r="AE291" s="23">
        <f>INDEX('[2]Cross-Section Database'!$C$2:$V$2928,MATCH(AD291,'[2]Cross-Section Database'!$B$2:$B$2928,0),3)</f>
        <v>340</v>
      </c>
      <c r="AF291" s="23">
        <f>INDEX('[2]Cross-Section Database'!$C$2:$V$2928,MATCH(AD291,'[2]Cross-Section Database'!$B$2:$B$2928,0),4)</f>
        <v>310</v>
      </c>
      <c r="AG291" s="23">
        <f>INDEX('[2]Cross-Section Database'!$C$2:$V$2928,MATCH(AD291,'[2]Cross-Section Database'!$B$2:$B$2928,0),6)</f>
        <v>39</v>
      </c>
      <c r="AH291" s="23">
        <f>INDEX('[2]Cross-Section Database'!$C$2:$V$2928,MATCH(AD291,'[2]Cross-Section Database'!$B$2:$B$2928,0),5)</f>
        <v>21</v>
      </c>
      <c r="AI291" s="23">
        <v>1540</v>
      </c>
      <c r="AJ291" s="308" t="s">
        <v>6341</v>
      </c>
      <c r="AK291" s="23">
        <f>INDEX('[2]Cross-Section Database'!$C$2:$V$2928,MATCH(AJ291,'[2]Cross-Section Database'!$B$2:$B$2928,0),3)</f>
        <v>310</v>
      </c>
      <c r="AL291" s="23">
        <f>INDEX('[2]Cross-Section Database'!$C$2:$V$2928,MATCH(AJ291,'[2]Cross-Section Database'!$B$2:$B$2928,0),4)</f>
        <v>300</v>
      </c>
      <c r="AM291" s="23">
        <f>INDEX('[2]Cross-Section Database'!$C$2:$V$2928,MATCH(AJ291,'[2]Cross-Section Database'!$B$2:$B$2928,0),6)</f>
        <v>15.5</v>
      </c>
      <c r="AN291" s="23">
        <f>INDEX('[2]Cross-Section Database'!$C$2:$V$2928,MATCH(AJ291,'[2]Cross-Section Database'!$B$2:$B$2928,0),5)</f>
        <v>9</v>
      </c>
      <c r="AO291" s="23">
        <v>1300</v>
      </c>
      <c r="AP291" s="23">
        <f>INDEX('[2]Cross-Section Database'!$C$2:$V$3928,MATCH(AJ291,'[2]Cross-Section Database'!$B$2:$B$3928,0),11)</f>
        <v>229300000</v>
      </c>
      <c r="AQ291" s="25">
        <f>INDEX('[2]Cross-Section Database'!$C$2:$V$3928,MATCH(AJ291,'[2]Cross-Section Database'!$B$2:$B$3928,0),12)</f>
        <v>1628000</v>
      </c>
      <c r="AR291" s="21">
        <v>10.25</v>
      </c>
      <c r="AS291" s="21">
        <v>300</v>
      </c>
      <c r="AT291" s="21">
        <v>310</v>
      </c>
      <c r="AU291" s="21">
        <v>0</v>
      </c>
      <c r="AV291" s="21">
        <v>0</v>
      </c>
      <c r="AW291" s="301" t="s">
        <v>5806</v>
      </c>
      <c r="AX291" s="310" t="s">
        <v>4498</v>
      </c>
      <c r="AY291" s="21">
        <f t="shared" si="155"/>
        <v>66.669749999999979</v>
      </c>
      <c r="AZ291" s="310">
        <v>27</v>
      </c>
      <c r="BA291" s="310">
        <v>459</v>
      </c>
      <c r="BB291" s="21">
        <v>75</v>
      </c>
      <c r="BC291" s="21">
        <v>75</v>
      </c>
      <c r="BD291" s="23">
        <v>0</v>
      </c>
      <c r="BE291" s="23">
        <v>150</v>
      </c>
      <c r="BF291" s="23">
        <v>160</v>
      </c>
      <c r="BG291" s="19" t="s">
        <v>6318</v>
      </c>
      <c r="BH291" s="311" t="s">
        <v>6204</v>
      </c>
      <c r="BI291" s="311" t="s">
        <v>6204</v>
      </c>
      <c r="BJ291" s="311">
        <v>2</v>
      </c>
      <c r="BK291" s="311">
        <v>4</v>
      </c>
      <c r="BL291" s="191" t="s">
        <v>5791</v>
      </c>
      <c r="BM291" s="192" t="s">
        <v>5791</v>
      </c>
      <c r="BN291" s="192" t="s">
        <v>5791</v>
      </c>
      <c r="BO291" s="192" t="s">
        <v>5791</v>
      </c>
      <c r="BP291" s="192" t="s">
        <v>5791</v>
      </c>
      <c r="BQ291" s="192" t="s">
        <v>5791</v>
      </c>
      <c r="BR291" s="192" t="s">
        <v>5791</v>
      </c>
      <c r="BS291" s="192" t="s">
        <v>5791</v>
      </c>
      <c r="BT291" s="191" t="s">
        <v>5791</v>
      </c>
      <c r="BU291" s="192" t="s">
        <v>5791</v>
      </c>
      <c r="BV291" s="192" t="s">
        <v>5791</v>
      </c>
      <c r="BW291" s="192" t="s">
        <v>5791</v>
      </c>
      <c r="BX291" s="192" t="s">
        <v>5791</v>
      </c>
      <c r="BY291" s="192" t="s">
        <v>5791</v>
      </c>
      <c r="BZ291" s="214" t="s">
        <v>5791</v>
      </c>
      <c r="CA291" s="192" t="s">
        <v>5791</v>
      </c>
      <c r="CB291" s="192" t="s">
        <v>5791</v>
      </c>
      <c r="CC291" s="192" t="s">
        <v>5791</v>
      </c>
      <c r="CD291" s="192" t="s">
        <v>5791</v>
      </c>
      <c r="CE291" s="192" t="s">
        <v>5791</v>
      </c>
      <c r="CF291" s="214" t="s">
        <v>5791</v>
      </c>
      <c r="CG291" s="308" t="s">
        <v>5971</v>
      </c>
      <c r="CH291" s="311">
        <v>355</v>
      </c>
      <c r="CI291" s="35">
        <f t="shared" si="156"/>
        <v>390.50000000000006</v>
      </c>
      <c r="CJ291" s="73">
        <v>470</v>
      </c>
      <c r="CK291" s="35">
        <f t="shared" si="157"/>
        <v>517</v>
      </c>
      <c r="CL291" s="69">
        <v>200000</v>
      </c>
      <c r="CM291" s="308" t="s">
        <v>5971</v>
      </c>
      <c r="CN291" s="86">
        <v>355</v>
      </c>
      <c r="CO291" s="35">
        <f t="shared" si="158"/>
        <v>390.50000000000006</v>
      </c>
      <c r="CP291" s="86">
        <v>470</v>
      </c>
      <c r="CQ291" s="35">
        <f t="shared" si="159"/>
        <v>517</v>
      </c>
      <c r="CR291" s="69">
        <v>200000</v>
      </c>
      <c r="CS291" s="308" t="s">
        <v>4830</v>
      </c>
      <c r="CT291" s="23">
        <v>960</v>
      </c>
      <c r="CU291" s="23">
        <v>951.7</v>
      </c>
      <c r="CV291" s="23">
        <v>1050</v>
      </c>
      <c r="CW291" s="23">
        <v>1051</v>
      </c>
      <c r="CX291" s="82">
        <v>201800</v>
      </c>
      <c r="CY291" s="201" t="s">
        <v>5791</v>
      </c>
      <c r="CZ291" s="202" t="s">
        <v>5791</v>
      </c>
      <c r="DA291" s="202" t="s">
        <v>5791</v>
      </c>
      <c r="DB291" s="203" t="s">
        <v>5791</v>
      </c>
      <c r="DC291" s="201" t="s">
        <v>5791</v>
      </c>
      <c r="DD291" s="202" t="s">
        <v>5791</v>
      </c>
      <c r="DE291" s="203" t="s">
        <v>5791</v>
      </c>
      <c r="DF291" s="275" t="s">
        <v>5791</v>
      </c>
      <c r="DG291" s="311">
        <v>8.8000000000000007</v>
      </c>
      <c r="DH291" s="311">
        <v>660</v>
      </c>
      <c r="DI291" s="23">
        <v>778.6</v>
      </c>
      <c r="DJ291" s="311">
        <v>830</v>
      </c>
      <c r="DK291" s="311">
        <v>1013</v>
      </c>
      <c r="DL291" s="69">
        <v>200000</v>
      </c>
      <c r="DM291" s="29" t="s">
        <v>4831</v>
      </c>
      <c r="DN291" s="308" t="s">
        <v>4435</v>
      </c>
      <c r="DO291" s="306" t="s">
        <v>4565</v>
      </c>
    </row>
    <row r="292" spans="1:119" ht="15.6" customHeight="1">
      <c r="A292" s="300">
        <v>287</v>
      </c>
      <c r="B292" s="348">
        <v>41</v>
      </c>
      <c r="C292" s="348">
        <v>2008</v>
      </c>
      <c r="D292" s="348" t="s">
        <v>6000</v>
      </c>
      <c r="E292" s="348" t="s">
        <v>6007</v>
      </c>
      <c r="F292" s="348">
        <v>3</v>
      </c>
      <c r="G292" s="348" t="s">
        <v>5998</v>
      </c>
      <c r="H292" s="348" t="s">
        <v>5999</v>
      </c>
      <c r="I292" s="348" t="s">
        <v>6246</v>
      </c>
      <c r="J292" s="284" t="s">
        <v>6001</v>
      </c>
      <c r="K292" s="300" t="s">
        <v>4383</v>
      </c>
      <c r="L292" s="309" t="s">
        <v>5791</v>
      </c>
      <c r="M292" s="300" t="s">
        <v>4507</v>
      </c>
      <c r="N292" s="309" t="s">
        <v>4701</v>
      </c>
      <c r="O292" s="17" t="s">
        <v>4506</v>
      </c>
      <c r="P292" s="309" t="s">
        <v>4470</v>
      </c>
      <c r="Q292" s="309" t="s">
        <v>4420</v>
      </c>
      <c r="R292" s="309" t="s">
        <v>4420</v>
      </c>
      <c r="S292" s="309" t="s">
        <v>5791</v>
      </c>
      <c r="T292" s="64" t="s">
        <v>4420</v>
      </c>
      <c r="U292" s="64" t="s">
        <v>5791</v>
      </c>
      <c r="V292" s="64" t="s">
        <v>4420</v>
      </c>
      <c r="W292" s="64" t="s">
        <v>5791</v>
      </c>
      <c r="X292" s="309" t="s">
        <v>4420</v>
      </c>
      <c r="Y292" s="309" t="s">
        <v>5791</v>
      </c>
      <c r="Z292" s="309" t="s">
        <v>4558</v>
      </c>
      <c r="AA292" s="87">
        <v>5</v>
      </c>
      <c r="AB292" s="232">
        <v>0</v>
      </c>
      <c r="AC292" s="17">
        <v>0</v>
      </c>
      <c r="AD292" s="300" t="s">
        <v>3983</v>
      </c>
      <c r="AE292" s="16">
        <f>INDEX('[2]Cross-Section Database'!$C$2:$V$2928,MATCH(AD292,'[2]Cross-Section Database'!$B$2:$B$2928,0),3)</f>
        <v>240</v>
      </c>
      <c r="AF292" s="16">
        <f>INDEX('[2]Cross-Section Database'!$C$2:$V$2928,MATCH(AD292,'[2]Cross-Section Database'!$B$2:$B$2928,0),4)</f>
        <v>240</v>
      </c>
      <c r="AG292" s="16">
        <f>INDEX('[2]Cross-Section Database'!$C$2:$V$2928,MATCH(AD292,'[2]Cross-Section Database'!$B$2:$B$2928,0),6)</f>
        <v>17</v>
      </c>
      <c r="AH292" s="16">
        <f>INDEX('[2]Cross-Section Database'!$C$2:$V$2928,MATCH(AD292,'[2]Cross-Section Database'!$B$2:$B$2928,0),5)</f>
        <v>10</v>
      </c>
      <c r="AI292" s="16">
        <v>1935</v>
      </c>
      <c r="AJ292" s="300" t="s">
        <v>3910</v>
      </c>
      <c r="AK292" s="16">
        <f>INDEX('[2]Cross-Section Database'!$C$2:$V$23928,MATCH(AJ292,'[2]Cross-Section Database'!$B$2:$B$3928,0),3)</f>
        <v>270</v>
      </c>
      <c r="AL292" s="16">
        <f>INDEX('[2]Cross-Section Database'!$C$2:$V$3928,MATCH(AJ292,'[2]Cross-Section Database'!$B$2:$B$3928,0),4)</f>
        <v>135</v>
      </c>
      <c r="AM292" s="16">
        <f>INDEX('[2]Cross-Section Database'!$C$2:$V$3928,MATCH(AJ292,'[2]Cross-Section Database'!$B$2:$B$3928,0),6)</f>
        <v>10.199999999999999</v>
      </c>
      <c r="AN292" s="16">
        <f>INDEX('[2]Cross-Section Database'!$C$2:$V$3928,MATCH(AJ292,'[2]Cross-Section Database'!$B$2:$B$3928,0),5)</f>
        <v>6.6</v>
      </c>
      <c r="AO292" s="16">
        <v>1080</v>
      </c>
      <c r="AP292" s="16">
        <f>INDEX('[2]Cross-Section Database'!$C$2:$V$3928,MATCH(AJ292,'[2]Cross-Section Database'!$B$2:$B$3928,0),11)</f>
        <v>57900000</v>
      </c>
      <c r="AQ292" s="26">
        <f>INDEX('[2]Cross-Section Database'!$C$2:$V$3928,MATCH(AJ292,'[2]Cross-Section Database'!$B$2:$B$3928,0),12)</f>
        <v>484000</v>
      </c>
      <c r="AR292" s="52">
        <v>10</v>
      </c>
      <c r="AS292" s="44">
        <v>145</v>
      </c>
      <c r="AT292" s="44">
        <v>280</v>
      </c>
      <c r="AU292" s="44">
        <v>5</v>
      </c>
      <c r="AV292" s="50">
        <v>5</v>
      </c>
      <c r="AW292" s="300" t="s">
        <v>5806</v>
      </c>
      <c r="AX292" s="309" t="s">
        <v>4572</v>
      </c>
      <c r="AY292" s="16">
        <f t="shared" si="155"/>
        <v>27.474999999999998</v>
      </c>
      <c r="AZ292" s="309">
        <v>16</v>
      </c>
      <c r="BA292" s="309">
        <f t="shared" ref="BA292:BA355" si="160">IF(AZ292=24,353,IF(AZ292=22,303,IF(AZ292=20,245,IF(AZ292=16,157,0))))</f>
        <v>157</v>
      </c>
      <c r="BB292" s="16">
        <v>45</v>
      </c>
      <c r="BC292" s="16">
        <v>45</v>
      </c>
      <c r="BD292" s="16">
        <v>0</v>
      </c>
      <c r="BE292" s="16">
        <v>95</v>
      </c>
      <c r="BF292" s="16">
        <v>190</v>
      </c>
      <c r="BG292" s="22" t="s">
        <v>4470</v>
      </c>
      <c r="BH292" s="309" t="s">
        <v>6204</v>
      </c>
      <c r="BI292" s="309" t="s">
        <v>6204</v>
      </c>
      <c r="BJ292" s="309">
        <v>2</v>
      </c>
      <c r="BK292" s="17">
        <v>4</v>
      </c>
      <c r="BL292" s="300">
        <v>100</v>
      </c>
      <c r="BM292" s="309">
        <v>1000</v>
      </c>
      <c r="BN292" s="195" t="s">
        <v>5791</v>
      </c>
      <c r="BO292" s="195" t="s">
        <v>5791</v>
      </c>
      <c r="BP292" s="195" t="s">
        <v>5791</v>
      </c>
      <c r="BQ292" s="195" t="s">
        <v>5791</v>
      </c>
      <c r="BR292" s="195" t="s">
        <v>5791</v>
      </c>
      <c r="BS292" s="213" t="s">
        <v>5791</v>
      </c>
      <c r="BT292" s="300" t="s">
        <v>5855</v>
      </c>
      <c r="BU292" s="309">
        <v>11</v>
      </c>
      <c r="BV292" s="309">
        <v>1</v>
      </c>
      <c r="BW292" s="309">
        <v>19</v>
      </c>
      <c r="BX292" s="309">
        <v>75</v>
      </c>
      <c r="BY292" s="309">
        <v>110</v>
      </c>
      <c r="BZ292" s="17">
        <v>100</v>
      </c>
      <c r="CA292" s="300" t="s">
        <v>6003</v>
      </c>
      <c r="CB292" s="309" t="s">
        <v>4601</v>
      </c>
      <c r="CC292" s="16">
        <f t="shared" ref="CC292:CC293" si="161">((BM292/100)+1)*PI()*8^2/4</f>
        <v>552.92030703180353</v>
      </c>
      <c r="CD292" s="16">
        <f>6*PI()*16^2/4</f>
        <v>1206.3715789784806</v>
      </c>
      <c r="CE292" s="309">
        <v>30</v>
      </c>
      <c r="CF292" s="121">
        <v>1.2E-2</v>
      </c>
      <c r="CG292" s="309" t="s">
        <v>6319</v>
      </c>
      <c r="CH292" s="16">
        <v>275</v>
      </c>
      <c r="CI292" s="30">
        <v>360</v>
      </c>
      <c r="CJ292" s="16">
        <v>410</v>
      </c>
      <c r="CK292" s="30">
        <v>530</v>
      </c>
      <c r="CL292" s="65">
        <v>200000</v>
      </c>
      <c r="CM292" s="309" t="s">
        <v>6319</v>
      </c>
      <c r="CN292" s="16">
        <v>275</v>
      </c>
      <c r="CO292" s="30">
        <v>360</v>
      </c>
      <c r="CP292" s="16">
        <v>410</v>
      </c>
      <c r="CQ292" s="30">
        <v>530</v>
      </c>
      <c r="CR292" s="65">
        <v>200000</v>
      </c>
      <c r="CS292" s="309" t="s">
        <v>6319</v>
      </c>
      <c r="CT292" s="16">
        <v>275</v>
      </c>
      <c r="CU292" s="30">
        <v>360</v>
      </c>
      <c r="CV292" s="16">
        <v>410</v>
      </c>
      <c r="CW292" s="30">
        <v>530</v>
      </c>
      <c r="CX292" s="65">
        <v>200000</v>
      </c>
      <c r="CY292" s="302" t="s">
        <v>6004</v>
      </c>
      <c r="CZ292" s="44">
        <v>32</v>
      </c>
      <c r="DA292" s="75">
        <v>2.6</v>
      </c>
      <c r="DB292" s="65">
        <v>31000</v>
      </c>
      <c r="DC292" s="242">
        <v>540</v>
      </c>
      <c r="DD292" s="81">
        <v>650</v>
      </c>
      <c r="DE292" s="65">
        <v>200000</v>
      </c>
      <c r="DF292" s="273" t="s">
        <v>5791</v>
      </c>
      <c r="DG292" s="309">
        <v>10.9</v>
      </c>
      <c r="DH292" s="309">
        <v>900</v>
      </c>
      <c r="DI292" s="30">
        <v>990</v>
      </c>
      <c r="DJ292" s="309">
        <v>1000</v>
      </c>
      <c r="DK292" s="30">
        <v>1100</v>
      </c>
      <c r="DL292" s="65">
        <v>200000</v>
      </c>
      <c r="DM292" s="28" t="s">
        <v>6005</v>
      </c>
      <c r="DN292" s="309" t="s">
        <v>4435</v>
      </c>
      <c r="DO292" s="305" t="s">
        <v>6014</v>
      </c>
    </row>
    <row r="293" spans="1:119">
      <c r="A293" s="301">
        <v>288</v>
      </c>
      <c r="B293" s="349"/>
      <c r="C293" s="349"/>
      <c r="D293" s="349"/>
      <c r="E293" s="349"/>
      <c r="F293" s="349"/>
      <c r="G293" s="349"/>
      <c r="H293" s="349"/>
      <c r="I293" s="349"/>
      <c r="J293" s="286" t="s">
        <v>6002</v>
      </c>
      <c r="K293" s="301" t="s">
        <v>4383</v>
      </c>
      <c r="L293" s="310" t="s">
        <v>5791</v>
      </c>
      <c r="M293" s="301" t="s">
        <v>4508</v>
      </c>
      <c r="N293" s="310" t="s">
        <v>4702</v>
      </c>
      <c r="O293" s="18" t="s">
        <v>4506</v>
      </c>
      <c r="P293" s="310" t="s">
        <v>4470</v>
      </c>
      <c r="Q293" s="310" t="s">
        <v>4420</v>
      </c>
      <c r="R293" s="310" t="s">
        <v>4420</v>
      </c>
      <c r="S293" s="310" t="s">
        <v>5791</v>
      </c>
      <c r="T293" s="59" t="s">
        <v>4420</v>
      </c>
      <c r="U293" s="59" t="s">
        <v>5791</v>
      </c>
      <c r="V293" s="59" t="s">
        <v>4420</v>
      </c>
      <c r="W293" s="59" t="s">
        <v>5791</v>
      </c>
      <c r="X293" s="310" t="s">
        <v>4420</v>
      </c>
      <c r="Y293" s="310" t="s">
        <v>5791</v>
      </c>
      <c r="Z293" s="310" t="s">
        <v>4558</v>
      </c>
      <c r="AA293" s="72">
        <v>5</v>
      </c>
      <c r="AB293" s="223">
        <v>0</v>
      </c>
      <c r="AC293" s="18">
        <v>0</v>
      </c>
      <c r="AD293" s="301" t="s">
        <v>3983</v>
      </c>
      <c r="AE293" s="21">
        <f>INDEX('[2]Cross-Section Database'!$C$2:$V$2928,MATCH(AD293,'[2]Cross-Section Database'!$B$2:$B$2928,0),3)</f>
        <v>240</v>
      </c>
      <c r="AF293" s="21">
        <f>INDEX('[2]Cross-Section Database'!$C$2:$V$2928,MATCH(AD293,'[2]Cross-Section Database'!$B$2:$B$2928,0),4)</f>
        <v>240</v>
      </c>
      <c r="AG293" s="21">
        <f>INDEX('[2]Cross-Section Database'!$C$2:$V$2928,MATCH(AD293,'[2]Cross-Section Database'!$B$2:$B$2928,0),6)</f>
        <v>17</v>
      </c>
      <c r="AH293" s="21">
        <f>INDEX('[2]Cross-Section Database'!$C$2:$V$2928,MATCH(AD293,'[2]Cross-Section Database'!$B$2:$B$2928,0),5)</f>
        <v>10</v>
      </c>
      <c r="AI293" s="21">
        <v>1935</v>
      </c>
      <c r="AJ293" s="301" t="s">
        <v>3910</v>
      </c>
      <c r="AK293" s="21">
        <f>INDEX('[2]Cross-Section Database'!$C$2:$V$23928,MATCH(AJ293,'[2]Cross-Section Database'!$B$2:$B$3928,0),3)</f>
        <v>270</v>
      </c>
      <c r="AL293" s="21">
        <f>INDEX('[2]Cross-Section Database'!$C$2:$V$3928,MATCH(AJ293,'[2]Cross-Section Database'!$B$2:$B$3928,0),4)</f>
        <v>135</v>
      </c>
      <c r="AM293" s="21">
        <f>INDEX('[2]Cross-Section Database'!$C$2:$V$3928,MATCH(AJ293,'[2]Cross-Section Database'!$B$2:$B$3928,0),6)</f>
        <v>10.199999999999999</v>
      </c>
      <c r="AN293" s="21">
        <f>INDEX('[2]Cross-Section Database'!$C$2:$V$3928,MATCH(AJ293,'[2]Cross-Section Database'!$B$2:$B$3928,0),5)</f>
        <v>6.6</v>
      </c>
      <c r="AO293" s="21">
        <v>1080</v>
      </c>
      <c r="AP293" s="21">
        <f>INDEX('[2]Cross-Section Database'!$C$2:$V$3928,MATCH(AJ293,'[2]Cross-Section Database'!$B$2:$B$3928,0),11)</f>
        <v>57900000</v>
      </c>
      <c r="AQ293" s="24">
        <f>INDEX('[2]Cross-Section Database'!$C$2:$V$3928,MATCH(AJ293,'[2]Cross-Section Database'!$B$2:$B$3928,0),12)</f>
        <v>484000</v>
      </c>
      <c r="AR293" s="53">
        <v>10</v>
      </c>
      <c r="AS293" s="45">
        <v>145</v>
      </c>
      <c r="AT293" s="45">
        <v>280</v>
      </c>
      <c r="AU293" s="45">
        <v>5</v>
      </c>
      <c r="AV293" s="51">
        <v>5</v>
      </c>
      <c r="AW293" s="298" t="s">
        <v>5806</v>
      </c>
      <c r="AX293" s="310" t="s">
        <v>4572</v>
      </c>
      <c r="AY293" s="21">
        <f t="shared" si="155"/>
        <v>27.474999999999998</v>
      </c>
      <c r="AZ293" s="303">
        <v>16</v>
      </c>
      <c r="BA293" s="310">
        <f t="shared" si="160"/>
        <v>157</v>
      </c>
      <c r="BB293" s="45">
        <v>45</v>
      </c>
      <c r="BC293" s="45">
        <v>45</v>
      </c>
      <c r="BD293" s="45">
        <v>0</v>
      </c>
      <c r="BE293" s="45">
        <v>95</v>
      </c>
      <c r="BF293" s="45">
        <v>190</v>
      </c>
      <c r="BG293" s="233" t="s">
        <v>4470</v>
      </c>
      <c r="BH293" s="310" t="s">
        <v>6204</v>
      </c>
      <c r="BI293" s="310" t="s">
        <v>6204</v>
      </c>
      <c r="BJ293" s="303">
        <v>2</v>
      </c>
      <c r="BK293" s="303">
        <v>4</v>
      </c>
      <c r="BL293" s="301">
        <v>100</v>
      </c>
      <c r="BM293" s="310">
        <v>1000</v>
      </c>
      <c r="BN293" s="197" t="s">
        <v>5791</v>
      </c>
      <c r="BO293" s="197" t="s">
        <v>5791</v>
      </c>
      <c r="BP293" s="197" t="s">
        <v>5791</v>
      </c>
      <c r="BQ293" s="197" t="s">
        <v>5791</v>
      </c>
      <c r="BR293" s="197" t="s">
        <v>5791</v>
      </c>
      <c r="BS293" s="212" t="s">
        <v>5791</v>
      </c>
      <c r="BT293" s="301" t="s">
        <v>5855</v>
      </c>
      <c r="BU293" s="310">
        <v>11</v>
      </c>
      <c r="BV293" s="310">
        <v>1</v>
      </c>
      <c r="BW293" s="310">
        <v>19</v>
      </c>
      <c r="BX293" s="310">
        <v>75</v>
      </c>
      <c r="BY293" s="310">
        <v>110</v>
      </c>
      <c r="BZ293" s="18">
        <v>100</v>
      </c>
      <c r="CA293" s="301" t="s">
        <v>6003</v>
      </c>
      <c r="CB293" s="310" t="s">
        <v>4601</v>
      </c>
      <c r="CC293" s="21">
        <f t="shared" si="161"/>
        <v>552.92030703180353</v>
      </c>
      <c r="CD293" s="21">
        <f>6*PI()*16^2/4</f>
        <v>1206.3715789784806</v>
      </c>
      <c r="CE293" s="310">
        <v>30</v>
      </c>
      <c r="CF293" s="119">
        <v>1.2E-2</v>
      </c>
      <c r="CG293" s="310" t="s">
        <v>6319</v>
      </c>
      <c r="CH293" s="21">
        <v>275</v>
      </c>
      <c r="CI293" s="32">
        <v>360</v>
      </c>
      <c r="CJ293" s="21">
        <v>410</v>
      </c>
      <c r="CK293" s="32">
        <v>530</v>
      </c>
      <c r="CL293" s="66">
        <v>200000</v>
      </c>
      <c r="CM293" s="310" t="s">
        <v>6319</v>
      </c>
      <c r="CN293" s="21">
        <v>275</v>
      </c>
      <c r="CO293" s="32">
        <v>360</v>
      </c>
      <c r="CP293" s="21">
        <v>410</v>
      </c>
      <c r="CQ293" s="32">
        <v>530</v>
      </c>
      <c r="CR293" s="66">
        <v>200000</v>
      </c>
      <c r="CS293" s="310" t="s">
        <v>6319</v>
      </c>
      <c r="CT293" s="21">
        <v>275</v>
      </c>
      <c r="CU293" s="32">
        <v>360</v>
      </c>
      <c r="CV293" s="21">
        <v>410</v>
      </c>
      <c r="CW293" s="32">
        <v>530</v>
      </c>
      <c r="CX293" s="66">
        <v>200000</v>
      </c>
      <c r="CY293" s="303" t="s">
        <v>6004</v>
      </c>
      <c r="CZ293" s="45">
        <v>33.299999999999997</v>
      </c>
      <c r="DA293" s="60">
        <v>2.6</v>
      </c>
      <c r="DB293" s="66">
        <v>31000</v>
      </c>
      <c r="DC293" s="91">
        <v>540</v>
      </c>
      <c r="DD293" s="63">
        <v>650</v>
      </c>
      <c r="DE293" s="66">
        <v>200000</v>
      </c>
      <c r="DF293" s="274" t="s">
        <v>5791</v>
      </c>
      <c r="DG293" s="310">
        <v>10.9</v>
      </c>
      <c r="DH293" s="310">
        <v>900</v>
      </c>
      <c r="DI293" s="32">
        <v>990</v>
      </c>
      <c r="DJ293" s="310">
        <v>1000</v>
      </c>
      <c r="DK293" s="32">
        <v>1100</v>
      </c>
      <c r="DL293" s="66">
        <v>200000</v>
      </c>
      <c r="DM293" s="29" t="s">
        <v>6006</v>
      </c>
      <c r="DN293" s="310" t="s">
        <v>4435</v>
      </c>
      <c r="DO293" s="306" t="s">
        <v>4565</v>
      </c>
    </row>
    <row r="294" spans="1:119" ht="15.6" customHeight="1" thickBot="1">
      <c r="A294" s="308">
        <v>289</v>
      </c>
      <c r="B294" s="350"/>
      <c r="C294" s="350"/>
      <c r="D294" s="350"/>
      <c r="E294" s="350"/>
      <c r="F294" s="350"/>
      <c r="G294" s="350"/>
      <c r="H294" s="350"/>
      <c r="I294" s="350"/>
      <c r="J294" s="285" t="s">
        <v>0</v>
      </c>
      <c r="K294" s="308" t="s">
        <v>4383</v>
      </c>
      <c r="L294" s="311" t="s">
        <v>5791</v>
      </c>
      <c r="M294" s="308" t="s">
        <v>4508</v>
      </c>
      <c r="N294" s="311" t="s">
        <v>4702</v>
      </c>
      <c r="O294" s="14" t="s">
        <v>4506</v>
      </c>
      <c r="P294" s="311" t="s">
        <v>4470</v>
      </c>
      <c r="Q294" s="311" t="s">
        <v>4420</v>
      </c>
      <c r="R294" s="311" t="s">
        <v>4420</v>
      </c>
      <c r="S294" s="311" t="s">
        <v>5791</v>
      </c>
      <c r="T294" s="86" t="s">
        <v>4420</v>
      </c>
      <c r="U294" s="86" t="s">
        <v>5791</v>
      </c>
      <c r="V294" s="86" t="s">
        <v>4420</v>
      </c>
      <c r="W294" s="86" t="s">
        <v>5791</v>
      </c>
      <c r="X294" s="311" t="s">
        <v>4420</v>
      </c>
      <c r="Y294" s="311" t="s">
        <v>5791</v>
      </c>
      <c r="Z294" s="311" t="s">
        <v>4558</v>
      </c>
      <c r="AA294" s="117">
        <v>5</v>
      </c>
      <c r="AB294" s="228">
        <v>0</v>
      </c>
      <c r="AC294" s="14">
        <v>0</v>
      </c>
      <c r="AD294" s="308" t="s">
        <v>3983</v>
      </c>
      <c r="AE294" s="23">
        <f>INDEX('[2]Cross-Section Database'!$C$2:$V$2928,MATCH(AD294,'[2]Cross-Section Database'!$B$2:$B$2928,0),3)</f>
        <v>240</v>
      </c>
      <c r="AF294" s="23">
        <f>INDEX('[2]Cross-Section Database'!$C$2:$V$2928,MATCH(AD294,'[2]Cross-Section Database'!$B$2:$B$2928,0),4)</f>
        <v>240</v>
      </c>
      <c r="AG294" s="23">
        <f>INDEX('[2]Cross-Section Database'!$C$2:$V$2928,MATCH(AD294,'[2]Cross-Section Database'!$B$2:$B$2928,0),6)</f>
        <v>17</v>
      </c>
      <c r="AH294" s="23">
        <f>INDEX('[2]Cross-Section Database'!$C$2:$V$2928,MATCH(AD294,'[2]Cross-Section Database'!$B$2:$B$2928,0),5)</f>
        <v>10</v>
      </c>
      <c r="AI294" s="23">
        <v>1935</v>
      </c>
      <c r="AJ294" s="308" t="s">
        <v>3910</v>
      </c>
      <c r="AK294" s="23">
        <f>INDEX('[2]Cross-Section Database'!$C$2:$V$23928,MATCH(AJ294,'[2]Cross-Section Database'!$B$2:$B$3928,0),3)</f>
        <v>270</v>
      </c>
      <c r="AL294" s="23">
        <f>INDEX('[2]Cross-Section Database'!$C$2:$V$3928,MATCH(AJ294,'[2]Cross-Section Database'!$B$2:$B$3928,0),4)</f>
        <v>135</v>
      </c>
      <c r="AM294" s="23">
        <f>INDEX('[2]Cross-Section Database'!$C$2:$V$3928,MATCH(AJ294,'[2]Cross-Section Database'!$B$2:$B$3928,0),6)</f>
        <v>10.199999999999999</v>
      </c>
      <c r="AN294" s="23">
        <f>INDEX('[2]Cross-Section Database'!$C$2:$V$3928,MATCH(AJ294,'[2]Cross-Section Database'!$B$2:$B$3928,0),5)</f>
        <v>6.6</v>
      </c>
      <c r="AO294" s="23">
        <v>1080</v>
      </c>
      <c r="AP294" s="23">
        <f>INDEX('[2]Cross-Section Database'!$C$2:$V$3928,MATCH(AJ294,'[2]Cross-Section Database'!$B$2:$B$3928,0),11)</f>
        <v>57900000</v>
      </c>
      <c r="AQ294" s="25">
        <f>INDEX('[2]Cross-Section Database'!$C$2:$V$3928,MATCH(AJ294,'[2]Cross-Section Database'!$B$2:$B$3928,0),12)</f>
        <v>484000</v>
      </c>
      <c r="AR294" s="54">
        <v>10</v>
      </c>
      <c r="AS294" s="55">
        <v>145</v>
      </c>
      <c r="AT294" s="55">
        <v>280</v>
      </c>
      <c r="AU294" s="55">
        <v>5</v>
      </c>
      <c r="AV294" s="56">
        <v>5</v>
      </c>
      <c r="AW294" s="299" t="s">
        <v>5806</v>
      </c>
      <c r="AX294" s="311" t="s">
        <v>4572</v>
      </c>
      <c r="AY294" s="21">
        <f t="shared" si="155"/>
        <v>27.474999999999998</v>
      </c>
      <c r="AZ294" s="304">
        <v>16</v>
      </c>
      <c r="BA294" s="311">
        <f t="shared" si="160"/>
        <v>157</v>
      </c>
      <c r="BB294" s="55">
        <v>45</v>
      </c>
      <c r="BC294" s="55">
        <v>45</v>
      </c>
      <c r="BD294" s="55">
        <v>0</v>
      </c>
      <c r="BE294" s="55">
        <v>95</v>
      </c>
      <c r="BF294" s="55">
        <v>190</v>
      </c>
      <c r="BG294" s="235" t="s">
        <v>4470</v>
      </c>
      <c r="BH294" s="311" t="s">
        <v>6204</v>
      </c>
      <c r="BI294" s="311" t="s">
        <v>6204</v>
      </c>
      <c r="BJ294" s="304">
        <v>2</v>
      </c>
      <c r="BK294" s="304">
        <v>4</v>
      </c>
      <c r="BL294" s="308">
        <v>100</v>
      </c>
      <c r="BM294" s="311">
        <v>1000</v>
      </c>
      <c r="BN294" s="192" t="s">
        <v>5791</v>
      </c>
      <c r="BO294" s="192" t="s">
        <v>5791</v>
      </c>
      <c r="BP294" s="192" t="s">
        <v>5791</v>
      </c>
      <c r="BQ294" s="192" t="s">
        <v>5791</v>
      </c>
      <c r="BR294" s="192" t="s">
        <v>5791</v>
      </c>
      <c r="BS294" s="214" t="s">
        <v>5791</v>
      </c>
      <c r="BT294" s="308" t="s">
        <v>5855</v>
      </c>
      <c r="BU294" s="311">
        <v>11</v>
      </c>
      <c r="BV294" s="311">
        <v>1</v>
      </c>
      <c r="BW294" s="311">
        <v>19</v>
      </c>
      <c r="BX294" s="311">
        <v>75</v>
      </c>
      <c r="BY294" s="311">
        <v>110</v>
      </c>
      <c r="BZ294" s="14">
        <v>100</v>
      </c>
      <c r="CA294" s="308" t="s">
        <v>6003</v>
      </c>
      <c r="CB294" s="311" t="s">
        <v>4601</v>
      </c>
      <c r="CC294" s="23">
        <f>((BM294/100)+1)*PI()*8^2/4</f>
        <v>552.92030703180353</v>
      </c>
      <c r="CD294" s="23">
        <f>6*PI()*16^2/4</f>
        <v>1206.3715789784806</v>
      </c>
      <c r="CE294" s="311">
        <v>30</v>
      </c>
      <c r="CF294" s="120">
        <v>1.2E-2</v>
      </c>
      <c r="CG294" s="311" t="s">
        <v>6319</v>
      </c>
      <c r="CH294" s="23">
        <v>275</v>
      </c>
      <c r="CI294" s="34">
        <v>360</v>
      </c>
      <c r="CJ294" s="23">
        <v>410</v>
      </c>
      <c r="CK294" s="34">
        <v>530</v>
      </c>
      <c r="CL294" s="69">
        <v>200000</v>
      </c>
      <c r="CM294" s="311" t="s">
        <v>6319</v>
      </c>
      <c r="CN294" s="23">
        <v>275</v>
      </c>
      <c r="CO294" s="34">
        <v>360</v>
      </c>
      <c r="CP294" s="23">
        <v>410</v>
      </c>
      <c r="CQ294" s="34">
        <v>530</v>
      </c>
      <c r="CR294" s="69">
        <v>200000</v>
      </c>
      <c r="CS294" s="311" t="s">
        <v>6319</v>
      </c>
      <c r="CT294" s="23">
        <v>275</v>
      </c>
      <c r="CU294" s="34">
        <v>360</v>
      </c>
      <c r="CV294" s="23">
        <v>410</v>
      </c>
      <c r="CW294" s="34">
        <v>530</v>
      </c>
      <c r="CX294" s="69">
        <v>200000</v>
      </c>
      <c r="CY294" s="304" t="s">
        <v>6004</v>
      </c>
      <c r="CZ294" s="55">
        <v>26.7</v>
      </c>
      <c r="DA294" s="76">
        <v>2.6</v>
      </c>
      <c r="DB294" s="69">
        <v>31000</v>
      </c>
      <c r="DC294" s="92">
        <v>540</v>
      </c>
      <c r="DD294" s="83">
        <v>650</v>
      </c>
      <c r="DE294" s="69">
        <v>200000</v>
      </c>
      <c r="DF294" s="275" t="s">
        <v>5791</v>
      </c>
      <c r="DG294" s="311">
        <v>10.9</v>
      </c>
      <c r="DH294" s="311">
        <v>900</v>
      </c>
      <c r="DI294" s="34">
        <v>990</v>
      </c>
      <c r="DJ294" s="311">
        <v>1000</v>
      </c>
      <c r="DK294" s="34">
        <v>1100</v>
      </c>
      <c r="DL294" s="69">
        <v>200000</v>
      </c>
      <c r="DM294" s="27" t="s">
        <v>8</v>
      </c>
      <c r="DN294" s="308" t="s">
        <v>4435</v>
      </c>
      <c r="DO294" s="307" t="s">
        <v>4565</v>
      </c>
    </row>
    <row r="295" spans="1:119" ht="15.6" customHeight="1">
      <c r="A295" s="300">
        <v>290</v>
      </c>
      <c r="B295" s="348">
        <v>42</v>
      </c>
      <c r="C295" s="348">
        <v>2009</v>
      </c>
      <c r="D295" s="458" t="s">
        <v>4674</v>
      </c>
      <c r="E295" s="373" t="s">
        <v>4847</v>
      </c>
      <c r="F295" s="348">
        <v>4</v>
      </c>
      <c r="G295" s="368" t="s">
        <v>5920</v>
      </c>
      <c r="H295" s="368" t="s">
        <v>5919</v>
      </c>
      <c r="I295" s="368" t="s">
        <v>6247</v>
      </c>
      <c r="J295" s="286" t="s">
        <v>4713</v>
      </c>
      <c r="K295" s="300" t="s">
        <v>6324</v>
      </c>
      <c r="L295" s="309" t="s">
        <v>6058</v>
      </c>
      <c r="M295" s="300" t="s">
        <v>4507</v>
      </c>
      <c r="N295" s="309" t="s">
        <v>4703</v>
      </c>
      <c r="O295" s="17" t="s">
        <v>4506</v>
      </c>
      <c r="P295" s="309" t="s">
        <v>6317</v>
      </c>
      <c r="Q295" s="309" t="s">
        <v>4470</v>
      </c>
      <c r="R295" s="309" t="s">
        <v>4420</v>
      </c>
      <c r="S295" s="309" t="s">
        <v>5791</v>
      </c>
      <c r="T295" s="64" t="s">
        <v>4420</v>
      </c>
      <c r="U295" s="64" t="s">
        <v>5791</v>
      </c>
      <c r="V295" s="64" t="s">
        <v>4420</v>
      </c>
      <c r="W295" s="64" t="s">
        <v>5791</v>
      </c>
      <c r="X295" s="309" t="s">
        <v>4420</v>
      </c>
      <c r="Y295" s="309" t="s">
        <v>5791</v>
      </c>
      <c r="Z295" s="309" t="s">
        <v>4559</v>
      </c>
      <c r="AA295" s="89">
        <v>0</v>
      </c>
      <c r="AB295" s="232">
        <v>0</v>
      </c>
      <c r="AC295" s="17">
        <v>1777</v>
      </c>
      <c r="AD295" s="300" t="s">
        <v>6346</v>
      </c>
      <c r="AE295" s="16">
        <f>INDEX('[2]Cross-Section Database'!$C$2:$V$2928,MATCH(AD295,'[2]Cross-Section Database'!$B$2:$B$2928,0),3)</f>
        <v>200</v>
      </c>
      <c r="AF295" s="16">
        <f>INDEX('[2]Cross-Section Database'!$C$2:$V$2928,MATCH(AD295,'[2]Cross-Section Database'!$B$2:$B$2928,0),4)</f>
        <v>200</v>
      </c>
      <c r="AG295" s="44">
        <f>INDEX('[2]Cross-Section Database'!$C$2:$V$2928,MATCH(AD295,'[2]Cross-Section Database'!$B$2:$B$2928,0),6)</f>
        <v>8</v>
      </c>
      <c r="AH295" s="44">
        <f>INDEX('[2]Cross-Section Database'!$C$2:$V$2928,MATCH(AD295,'[2]Cross-Section Database'!$B$2:$B$2928,0),5)</f>
        <v>8</v>
      </c>
      <c r="AI295" s="16">
        <v>1400</v>
      </c>
      <c r="AJ295" s="300" t="s">
        <v>5595</v>
      </c>
      <c r="AK295" s="16">
        <f>INDEX('[2]Cross-Section Database'!$C$2:$V$3928,MATCH(AJ295,'[2]Cross-Section Database'!$B$2:$B$3928,0),3)</f>
        <v>300</v>
      </c>
      <c r="AL295" s="16">
        <f>INDEX('[2]Cross-Section Database'!$C$2:$V$3928,MATCH(AJ295,'[2]Cross-Section Database'!$B$2:$B$3928,0),4)</f>
        <v>150</v>
      </c>
      <c r="AM295" s="16">
        <f>INDEX('[2]Cross-Section Database'!$C$2:$V$3928,MATCH(AJ295,'[2]Cross-Section Database'!$B$2:$B$3928,0),6)</f>
        <v>9</v>
      </c>
      <c r="AN295" s="16">
        <f>INDEX('[2]Cross-Section Database'!$C$2:$V$3928,MATCH(AJ295,'[2]Cross-Section Database'!$B$2:$B$3928,0),5)</f>
        <v>6.5</v>
      </c>
      <c r="AO295" s="16">
        <v>1300</v>
      </c>
      <c r="AP295" s="16">
        <f>INDEX('[2]Cross-Section Database'!$C$2:$V$3928,MATCH(AJ295,'[2]Cross-Section Database'!$B$2:$B$3928,0),11)</f>
        <v>69325191</v>
      </c>
      <c r="AQ295" s="26">
        <f>INDEX('[2]Cross-Section Database'!$C$2:$V$3928,MATCH(AJ295,'[2]Cross-Section Database'!$B$2:$B$3928,0),12)</f>
        <v>522076.5</v>
      </c>
      <c r="AR295" s="16">
        <v>18</v>
      </c>
      <c r="AS295" s="16">
        <v>200</v>
      </c>
      <c r="AT295" s="16">
        <v>340</v>
      </c>
      <c r="AU295" s="16">
        <f>(AT295-AK295)-AV295</f>
        <v>20</v>
      </c>
      <c r="AV295" s="16">
        <f t="shared" ref="AV295:AV337" si="162">(AT295-AK295)/2</f>
        <v>20</v>
      </c>
      <c r="AW295" s="300" t="s">
        <v>5658</v>
      </c>
      <c r="AX295" s="309" t="s">
        <v>4650</v>
      </c>
      <c r="AY295" s="16">
        <f>190/AZ295/0.25</f>
        <v>47.5</v>
      </c>
      <c r="AZ295" s="309">
        <v>16</v>
      </c>
      <c r="BA295" s="309">
        <f t="shared" si="160"/>
        <v>157</v>
      </c>
      <c r="BB295" s="16">
        <v>65</v>
      </c>
      <c r="BC295" s="16">
        <f>BB295</f>
        <v>65</v>
      </c>
      <c r="BD295" s="16">
        <v>70</v>
      </c>
      <c r="BE295" s="16">
        <v>110</v>
      </c>
      <c r="BF295" s="16">
        <v>70</v>
      </c>
      <c r="BG295" s="22" t="s">
        <v>6317</v>
      </c>
      <c r="BH295" s="309" t="s">
        <v>4465</v>
      </c>
      <c r="BI295" s="309" t="s">
        <v>4465</v>
      </c>
      <c r="BJ295" s="309">
        <v>4</v>
      </c>
      <c r="BK295" s="309">
        <v>8</v>
      </c>
      <c r="BL295" s="194" t="s">
        <v>5791</v>
      </c>
      <c r="BM295" s="195" t="s">
        <v>5791</v>
      </c>
      <c r="BN295" s="195" t="s">
        <v>5791</v>
      </c>
      <c r="BO295" s="195" t="s">
        <v>5791</v>
      </c>
      <c r="BP295" s="195" t="s">
        <v>5791</v>
      </c>
      <c r="BQ295" s="195" t="s">
        <v>5791</v>
      </c>
      <c r="BR295" s="195" t="s">
        <v>5791</v>
      </c>
      <c r="BS295" s="195" t="s">
        <v>5791</v>
      </c>
      <c r="BT295" s="194" t="s">
        <v>5791</v>
      </c>
      <c r="BU295" s="195" t="s">
        <v>5791</v>
      </c>
      <c r="BV295" s="195" t="s">
        <v>5791</v>
      </c>
      <c r="BW295" s="195" t="s">
        <v>5791</v>
      </c>
      <c r="BX295" s="195" t="s">
        <v>5791</v>
      </c>
      <c r="BY295" s="195" t="s">
        <v>5791</v>
      </c>
      <c r="BZ295" s="213" t="s">
        <v>5791</v>
      </c>
      <c r="CA295" s="195" t="s">
        <v>5791</v>
      </c>
      <c r="CB295" s="195" t="s">
        <v>5791</v>
      </c>
      <c r="CC295" s="195" t="s">
        <v>5791</v>
      </c>
      <c r="CD295" s="195" t="s">
        <v>5791</v>
      </c>
      <c r="CE295" s="195" t="s">
        <v>5791</v>
      </c>
      <c r="CF295" s="213" t="s">
        <v>5791</v>
      </c>
      <c r="CG295" s="33" t="s">
        <v>5650</v>
      </c>
      <c r="CH295" s="16">
        <v>235</v>
      </c>
      <c r="CI295" s="16">
        <v>301.7</v>
      </c>
      <c r="CJ295" s="16">
        <v>370</v>
      </c>
      <c r="CK295" s="16">
        <v>436.5</v>
      </c>
      <c r="CL295" s="80">
        <v>200000</v>
      </c>
      <c r="CM295" s="33" t="s">
        <v>5650</v>
      </c>
      <c r="CN295" s="46">
        <v>235</v>
      </c>
      <c r="CO295" s="16">
        <v>267.5</v>
      </c>
      <c r="CP295" s="46">
        <v>370</v>
      </c>
      <c r="CQ295" s="16">
        <v>379.15</v>
      </c>
      <c r="CR295" s="80">
        <v>193000</v>
      </c>
      <c r="CS295" s="33" t="s">
        <v>5650</v>
      </c>
      <c r="CT295" s="46">
        <v>235</v>
      </c>
      <c r="CU295" s="21">
        <v>268.5</v>
      </c>
      <c r="CV295" s="46">
        <v>370</v>
      </c>
      <c r="CW295" s="21">
        <v>399.2</v>
      </c>
      <c r="CX295" s="68">
        <v>186000</v>
      </c>
      <c r="CY295" s="198" t="s">
        <v>5791</v>
      </c>
      <c r="CZ295" s="199" t="s">
        <v>5791</v>
      </c>
      <c r="DA295" s="199" t="s">
        <v>5791</v>
      </c>
      <c r="DB295" s="200" t="s">
        <v>5791</v>
      </c>
      <c r="DC295" s="198" t="s">
        <v>5791</v>
      </c>
      <c r="DD295" s="199" t="s">
        <v>5791</v>
      </c>
      <c r="DE295" s="200" t="s">
        <v>5791</v>
      </c>
      <c r="DF295" s="273" t="s">
        <v>5791</v>
      </c>
      <c r="DG295" s="310">
        <v>8.8000000000000007</v>
      </c>
      <c r="DH295" s="310">
        <v>640</v>
      </c>
      <c r="DI295" s="310">
        <v>752</v>
      </c>
      <c r="DJ295" s="310">
        <v>800</v>
      </c>
      <c r="DK295" s="310">
        <v>946</v>
      </c>
      <c r="DL295" s="60">
        <v>200000</v>
      </c>
      <c r="DM295" s="28" t="s">
        <v>4784</v>
      </c>
      <c r="DN295" s="309" t="s">
        <v>4560</v>
      </c>
      <c r="DO295" s="305" t="s">
        <v>6017</v>
      </c>
    </row>
    <row r="296" spans="1:119">
      <c r="A296" s="301">
        <v>291</v>
      </c>
      <c r="B296" s="349"/>
      <c r="C296" s="349"/>
      <c r="D296" s="459"/>
      <c r="E296" s="374"/>
      <c r="F296" s="349"/>
      <c r="G296" s="369"/>
      <c r="H296" s="369"/>
      <c r="I296" s="369"/>
      <c r="J296" s="286" t="s">
        <v>4714</v>
      </c>
      <c r="K296" s="301" t="s">
        <v>6324</v>
      </c>
      <c r="L296" s="310" t="s">
        <v>6058</v>
      </c>
      <c r="M296" s="301" t="s">
        <v>4507</v>
      </c>
      <c r="N296" s="310" t="s">
        <v>4703</v>
      </c>
      <c r="O296" s="18" t="s">
        <v>4506</v>
      </c>
      <c r="P296" s="310" t="s">
        <v>6317</v>
      </c>
      <c r="Q296" s="310" t="s">
        <v>4470</v>
      </c>
      <c r="R296" s="310" t="s">
        <v>4420</v>
      </c>
      <c r="S296" s="310" t="s">
        <v>5791</v>
      </c>
      <c r="T296" s="59" t="s">
        <v>4420</v>
      </c>
      <c r="U296" s="59" t="s">
        <v>5791</v>
      </c>
      <c r="V296" s="59" t="s">
        <v>4420</v>
      </c>
      <c r="W296" s="59" t="s">
        <v>5791</v>
      </c>
      <c r="X296" s="310" t="s">
        <v>4420</v>
      </c>
      <c r="Y296" s="310" t="s">
        <v>5791</v>
      </c>
      <c r="Z296" s="310" t="s">
        <v>4559</v>
      </c>
      <c r="AA296" s="88">
        <v>0</v>
      </c>
      <c r="AB296" s="223">
        <v>0</v>
      </c>
      <c r="AC296" s="18">
        <v>1777</v>
      </c>
      <c r="AD296" s="301" t="s">
        <v>6346</v>
      </c>
      <c r="AE296" s="310">
        <f>INDEX('[2]Cross-Section Database'!$C$2:$V$2928,MATCH(AD296,'[2]Cross-Section Database'!$B$2:$B$2928,0),3)</f>
        <v>200</v>
      </c>
      <c r="AF296" s="310">
        <f>INDEX('[2]Cross-Section Database'!$C$2:$V$2928,MATCH(AD296,'[2]Cross-Section Database'!$B$2:$B$2928,0),4)</f>
        <v>200</v>
      </c>
      <c r="AG296" s="21">
        <f>INDEX('[2]Cross-Section Database'!$C$2:$V$2928,MATCH(AD296,'[2]Cross-Section Database'!$B$2:$B$2928,0),6)</f>
        <v>8</v>
      </c>
      <c r="AH296" s="21">
        <f>INDEX('[2]Cross-Section Database'!$C$2:$V$2928,MATCH(AD296,'[2]Cross-Section Database'!$B$2:$B$2928,0),5)</f>
        <v>8</v>
      </c>
      <c r="AI296" s="21">
        <v>1400</v>
      </c>
      <c r="AJ296" s="301" t="s">
        <v>5595</v>
      </c>
      <c r="AK296" s="21">
        <f>INDEX('[2]Cross-Section Database'!$C$2:$V$3928,MATCH(AJ296,'[2]Cross-Section Database'!$B$2:$B$3928,0),3)</f>
        <v>300</v>
      </c>
      <c r="AL296" s="21">
        <f>INDEX('[2]Cross-Section Database'!$C$2:$V$3928,MATCH(AJ296,'[2]Cross-Section Database'!$B$2:$B$3928,0),4)</f>
        <v>150</v>
      </c>
      <c r="AM296" s="21">
        <f>INDEX('[2]Cross-Section Database'!$C$2:$V$3928,MATCH(AJ296,'[2]Cross-Section Database'!$B$2:$B$3928,0),6)</f>
        <v>9</v>
      </c>
      <c r="AN296" s="21">
        <f>INDEX('[2]Cross-Section Database'!$C$2:$V$3928,MATCH(AJ296,'[2]Cross-Section Database'!$B$2:$B$3928,0),5)</f>
        <v>6.5</v>
      </c>
      <c r="AO296" s="21">
        <v>1300</v>
      </c>
      <c r="AP296" s="21">
        <f>INDEX('[2]Cross-Section Database'!$C$2:$V$3928,MATCH(AJ296,'[2]Cross-Section Database'!$B$2:$B$3928,0),11)</f>
        <v>69325191</v>
      </c>
      <c r="AQ296" s="24">
        <f>INDEX('[2]Cross-Section Database'!$C$2:$V$3928,MATCH(AJ296,'[2]Cross-Section Database'!$B$2:$B$3928,0),12)</f>
        <v>522076.5</v>
      </c>
      <c r="AR296" s="21">
        <v>12</v>
      </c>
      <c r="AS296" s="21">
        <v>200</v>
      </c>
      <c r="AT296" s="21">
        <v>340</v>
      </c>
      <c r="AU296" s="21">
        <f>(AT296-AK296)-AV296</f>
        <v>20</v>
      </c>
      <c r="AV296" s="21">
        <f t="shared" si="162"/>
        <v>20</v>
      </c>
      <c r="AW296" s="301" t="s">
        <v>5658</v>
      </c>
      <c r="AX296" s="310" t="s">
        <v>4650</v>
      </c>
      <c r="AY296" s="21">
        <f>190/AZ296/0.25</f>
        <v>47.5</v>
      </c>
      <c r="AZ296" s="310">
        <v>16</v>
      </c>
      <c r="BA296" s="310">
        <f t="shared" si="160"/>
        <v>157</v>
      </c>
      <c r="BB296" s="21">
        <v>65</v>
      </c>
      <c r="BC296" s="21">
        <f>BB296</f>
        <v>65</v>
      </c>
      <c r="BD296" s="21">
        <v>70</v>
      </c>
      <c r="BE296" s="21">
        <v>110</v>
      </c>
      <c r="BF296" s="21">
        <v>70</v>
      </c>
      <c r="BG296" s="15" t="s">
        <v>6317</v>
      </c>
      <c r="BH296" s="310" t="s">
        <v>4465</v>
      </c>
      <c r="BI296" s="310" t="s">
        <v>4465</v>
      </c>
      <c r="BJ296" s="310">
        <v>4</v>
      </c>
      <c r="BK296" s="310">
        <v>8</v>
      </c>
      <c r="BL296" s="196" t="s">
        <v>5791</v>
      </c>
      <c r="BM296" s="197" t="s">
        <v>5791</v>
      </c>
      <c r="BN296" s="197" t="s">
        <v>5791</v>
      </c>
      <c r="BO296" s="197" t="s">
        <v>5791</v>
      </c>
      <c r="BP296" s="197" t="s">
        <v>5791</v>
      </c>
      <c r="BQ296" s="197" t="s">
        <v>5791</v>
      </c>
      <c r="BR296" s="197" t="s">
        <v>5791</v>
      </c>
      <c r="BS296" s="197" t="s">
        <v>5791</v>
      </c>
      <c r="BT296" s="196" t="s">
        <v>5791</v>
      </c>
      <c r="BU296" s="197" t="s">
        <v>5791</v>
      </c>
      <c r="BV296" s="197" t="s">
        <v>5791</v>
      </c>
      <c r="BW296" s="197" t="s">
        <v>5791</v>
      </c>
      <c r="BX296" s="197" t="s">
        <v>5791</v>
      </c>
      <c r="BY296" s="197" t="s">
        <v>5791</v>
      </c>
      <c r="BZ296" s="212" t="s">
        <v>5791</v>
      </c>
      <c r="CA296" s="197" t="s">
        <v>5791</v>
      </c>
      <c r="CB296" s="197" t="s">
        <v>5791</v>
      </c>
      <c r="CC296" s="197" t="s">
        <v>5791</v>
      </c>
      <c r="CD296" s="197" t="s">
        <v>5791</v>
      </c>
      <c r="CE296" s="197" t="s">
        <v>5791</v>
      </c>
      <c r="CF296" s="212" t="s">
        <v>5791</v>
      </c>
      <c r="CG296" s="33" t="s">
        <v>5650</v>
      </c>
      <c r="CH296" s="21">
        <v>235</v>
      </c>
      <c r="CI296" s="21">
        <v>301.7</v>
      </c>
      <c r="CJ296" s="21">
        <v>370</v>
      </c>
      <c r="CK296" s="21">
        <v>436.5</v>
      </c>
      <c r="CL296" s="68">
        <v>200000</v>
      </c>
      <c r="CM296" s="33" t="s">
        <v>5650</v>
      </c>
      <c r="CN296" s="46">
        <v>235</v>
      </c>
      <c r="CO296" s="21">
        <v>267.5</v>
      </c>
      <c r="CP296" s="46">
        <v>370</v>
      </c>
      <c r="CQ296" s="21">
        <v>379.15</v>
      </c>
      <c r="CR296" s="68">
        <v>193000</v>
      </c>
      <c r="CS296" s="33" t="s">
        <v>5650</v>
      </c>
      <c r="CT296" s="46">
        <v>235</v>
      </c>
      <c r="CU296" s="21">
        <v>268.5</v>
      </c>
      <c r="CV296" s="46">
        <v>370</v>
      </c>
      <c r="CW296" s="21">
        <v>399.2</v>
      </c>
      <c r="CX296" s="68">
        <v>186000</v>
      </c>
      <c r="CY296" s="201" t="s">
        <v>5791</v>
      </c>
      <c r="CZ296" s="202" t="s">
        <v>5791</v>
      </c>
      <c r="DA296" s="202" t="s">
        <v>5791</v>
      </c>
      <c r="DB296" s="203" t="s">
        <v>5791</v>
      </c>
      <c r="DC296" s="201" t="s">
        <v>5791</v>
      </c>
      <c r="DD296" s="202" t="s">
        <v>5791</v>
      </c>
      <c r="DE296" s="203" t="s">
        <v>5791</v>
      </c>
      <c r="DF296" s="274" t="s">
        <v>5791</v>
      </c>
      <c r="DG296" s="310">
        <v>8.8000000000000007</v>
      </c>
      <c r="DH296" s="310">
        <v>640</v>
      </c>
      <c r="DI296" s="310">
        <v>752</v>
      </c>
      <c r="DJ296" s="310">
        <v>800</v>
      </c>
      <c r="DK296" s="310">
        <v>946</v>
      </c>
      <c r="DL296" s="60">
        <v>200000</v>
      </c>
      <c r="DM296" s="29" t="s">
        <v>6018</v>
      </c>
      <c r="DN296" s="310" t="s">
        <v>4560</v>
      </c>
      <c r="DO296" s="306" t="s">
        <v>6017</v>
      </c>
    </row>
    <row r="297" spans="1:119">
      <c r="A297" s="301">
        <v>292</v>
      </c>
      <c r="B297" s="349"/>
      <c r="C297" s="349"/>
      <c r="D297" s="459"/>
      <c r="E297" s="374"/>
      <c r="F297" s="349"/>
      <c r="G297" s="369"/>
      <c r="H297" s="369"/>
      <c r="I297" s="369"/>
      <c r="J297" s="293" t="s">
        <v>4648</v>
      </c>
      <c r="K297" s="301" t="s">
        <v>4383</v>
      </c>
      <c r="L297" s="310" t="s">
        <v>5791</v>
      </c>
      <c r="M297" s="301" t="s">
        <v>4507</v>
      </c>
      <c r="N297" s="310" t="s">
        <v>4701</v>
      </c>
      <c r="O297" s="18" t="s">
        <v>4506</v>
      </c>
      <c r="P297" s="310" t="s">
        <v>4420</v>
      </c>
      <c r="Q297" s="310" t="s">
        <v>4470</v>
      </c>
      <c r="R297" s="310" t="s">
        <v>4420</v>
      </c>
      <c r="S297" s="310" t="s">
        <v>5791</v>
      </c>
      <c r="T297" s="59" t="s">
        <v>4420</v>
      </c>
      <c r="U297" s="59" t="s">
        <v>5791</v>
      </c>
      <c r="V297" s="59" t="s">
        <v>4420</v>
      </c>
      <c r="W297" s="59" t="s">
        <v>5791</v>
      </c>
      <c r="X297" s="310" t="s">
        <v>4420</v>
      </c>
      <c r="Y297" s="310" t="s">
        <v>5791</v>
      </c>
      <c r="Z297" s="310" t="s">
        <v>4559</v>
      </c>
      <c r="AA297" s="88">
        <v>0</v>
      </c>
      <c r="AB297" s="223">
        <v>0</v>
      </c>
      <c r="AC297" s="18">
        <v>1777</v>
      </c>
      <c r="AD297" s="301" t="s">
        <v>4646</v>
      </c>
      <c r="AE297" s="310">
        <f>INDEX('[2]Cross-Section Database'!$C$2:$V$2928,MATCH(AD297,'[2]Cross-Section Database'!$B$2:$B$2928,0),3)</f>
        <v>200</v>
      </c>
      <c r="AF297" s="310">
        <f>INDEX('[2]Cross-Section Database'!$C$2:$V$2928,MATCH(AD297,'[2]Cross-Section Database'!$B$2:$B$2928,0),4)</f>
        <v>200</v>
      </c>
      <c r="AG297" s="21">
        <f>INDEX('[2]Cross-Section Database'!$C$2:$V$2928,MATCH(AD297,'[2]Cross-Section Database'!$B$2:$B$2928,0),6)</f>
        <v>8</v>
      </c>
      <c r="AH297" s="21">
        <f>INDEX('[2]Cross-Section Database'!$C$2:$V$2928,MATCH(AD297,'[2]Cross-Section Database'!$B$2:$B$2928,0),5)</f>
        <v>8</v>
      </c>
      <c r="AI297" s="21">
        <v>1400</v>
      </c>
      <c r="AJ297" s="301" t="s">
        <v>5595</v>
      </c>
      <c r="AK297" s="21">
        <f>INDEX('[2]Cross-Section Database'!$C$2:$V$3928,MATCH(AJ297,'[2]Cross-Section Database'!$B$2:$B$3928,0),3)</f>
        <v>300</v>
      </c>
      <c r="AL297" s="21">
        <f>INDEX('[2]Cross-Section Database'!$C$2:$V$3928,MATCH(AJ297,'[2]Cross-Section Database'!$B$2:$B$3928,0),4)</f>
        <v>150</v>
      </c>
      <c r="AM297" s="21">
        <f>INDEX('[2]Cross-Section Database'!$C$2:$V$3928,MATCH(AJ297,'[2]Cross-Section Database'!$B$2:$B$3928,0),6)</f>
        <v>9</v>
      </c>
      <c r="AN297" s="21">
        <f>INDEX('[2]Cross-Section Database'!$C$2:$V$3928,MATCH(AJ297,'[2]Cross-Section Database'!$B$2:$B$3928,0),5)</f>
        <v>6.5</v>
      </c>
      <c r="AO297" s="21">
        <v>1200</v>
      </c>
      <c r="AP297" s="21">
        <f>INDEX('[2]Cross-Section Database'!$C$2:$V$3928,MATCH(AJ297,'[2]Cross-Section Database'!$B$2:$B$3928,0),11)</f>
        <v>69325191</v>
      </c>
      <c r="AQ297" s="24">
        <v>522077</v>
      </c>
      <c r="AR297" s="21">
        <v>18</v>
      </c>
      <c r="AS297" s="21">
        <v>200</v>
      </c>
      <c r="AT297" s="21">
        <v>340</v>
      </c>
      <c r="AU297" s="21">
        <v>20</v>
      </c>
      <c r="AV297" s="21">
        <f t="shared" si="162"/>
        <v>20</v>
      </c>
      <c r="AW297" s="301" t="s">
        <v>5658</v>
      </c>
      <c r="AX297" s="310" t="s">
        <v>4650</v>
      </c>
      <c r="AY297" s="21">
        <f>190/AZ297/0.25</f>
        <v>47.5</v>
      </c>
      <c r="AZ297" s="310">
        <v>16</v>
      </c>
      <c r="BA297" s="310">
        <f t="shared" si="160"/>
        <v>157</v>
      </c>
      <c r="BB297" s="21">
        <v>65</v>
      </c>
      <c r="BC297" s="21">
        <f>BB297</f>
        <v>65</v>
      </c>
      <c r="BD297" s="21">
        <v>105</v>
      </c>
      <c r="BE297" s="21">
        <v>110</v>
      </c>
      <c r="BF297" s="21">
        <v>0</v>
      </c>
      <c r="BG297" s="15" t="s">
        <v>4470</v>
      </c>
      <c r="BH297" s="310" t="s">
        <v>6204</v>
      </c>
      <c r="BI297" s="310" t="s">
        <v>6204</v>
      </c>
      <c r="BJ297" s="310">
        <v>2</v>
      </c>
      <c r="BK297" s="310">
        <v>6</v>
      </c>
      <c r="BL297" s="196" t="s">
        <v>5791</v>
      </c>
      <c r="BM297" s="197" t="s">
        <v>5791</v>
      </c>
      <c r="BN297" s="197" t="s">
        <v>5791</v>
      </c>
      <c r="BO297" s="197" t="s">
        <v>5791</v>
      </c>
      <c r="BP297" s="197" t="s">
        <v>5791</v>
      </c>
      <c r="BQ297" s="197" t="s">
        <v>5791</v>
      </c>
      <c r="BR297" s="197" t="s">
        <v>5791</v>
      </c>
      <c r="BS297" s="197" t="s">
        <v>5791</v>
      </c>
      <c r="BT297" s="196" t="s">
        <v>5791</v>
      </c>
      <c r="BU297" s="197" t="s">
        <v>5791</v>
      </c>
      <c r="BV297" s="197" t="s">
        <v>5791</v>
      </c>
      <c r="BW297" s="197" t="s">
        <v>5791</v>
      </c>
      <c r="BX297" s="197" t="s">
        <v>5791</v>
      </c>
      <c r="BY297" s="197" t="s">
        <v>5791</v>
      </c>
      <c r="BZ297" s="212" t="s">
        <v>5791</v>
      </c>
      <c r="CA297" s="197" t="s">
        <v>5791</v>
      </c>
      <c r="CB297" s="197" t="s">
        <v>5791</v>
      </c>
      <c r="CC297" s="197" t="s">
        <v>5791</v>
      </c>
      <c r="CD297" s="197" t="s">
        <v>5791</v>
      </c>
      <c r="CE297" s="197" t="s">
        <v>5791</v>
      </c>
      <c r="CF297" s="212" t="s">
        <v>5791</v>
      </c>
      <c r="CG297" s="33" t="s">
        <v>5650</v>
      </c>
      <c r="CH297" s="21">
        <v>235</v>
      </c>
      <c r="CI297" s="21">
        <v>301.7</v>
      </c>
      <c r="CJ297" s="21">
        <v>370</v>
      </c>
      <c r="CK297" s="21">
        <v>436.5</v>
      </c>
      <c r="CL297" s="68">
        <v>200000</v>
      </c>
      <c r="CM297" s="33" t="s">
        <v>5650</v>
      </c>
      <c r="CN297" s="46">
        <v>235</v>
      </c>
      <c r="CO297" s="21">
        <v>267.5</v>
      </c>
      <c r="CP297" s="46">
        <v>370</v>
      </c>
      <c r="CQ297" s="21">
        <v>379.1</v>
      </c>
      <c r="CR297" s="68">
        <v>193000</v>
      </c>
      <c r="CS297" s="33" t="s">
        <v>5650</v>
      </c>
      <c r="CT297" s="46">
        <v>235</v>
      </c>
      <c r="CU297" s="21">
        <v>268.5</v>
      </c>
      <c r="CV297" s="46">
        <v>370</v>
      </c>
      <c r="CW297" s="21">
        <v>399.2</v>
      </c>
      <c r="CX297" s="68">
        <v>186000</v>
      </c>
      <c r="CY297" s="301" t="s">
        <v>5659</v>
      </c>
      <c r="CZ297" s="63">
        <v>64</v>
      </c>
      <c r="DA297" s="33">
        <v>4.4000000000000004</v>
      </c>
      <c r="DB297" s="68">
        <v>34258</v>
      </c>
      <c r="DC297" s="201" t="s">
        <v>5791</v>
      </c>
      <c r="DD297" s="202" t="s">
        <v>5791</v>
      </c>
      <c r="DE297" s="203" t="s">
        <v>5791</v>
      </c>
      <c r="DF297" s="274" t="s">
        <v>5791</v>
      </c>
      <c r="DG297" s="310">
        <v>8.8000000000000007</v>
      </c>
      <c r="DH297" s="310">
        <v>640</v>
      </c>
      <c r="DI297" s="310">
        <v>752</v>
      </c>
      <c r="DJ297" s="310">
        <v>800</v>
      </c>
      <c r="DK297" s="310">
        <v>946</v>
      </c>
      <c r="DL297" s="60">
        <v>200000</v>
      </c>
      <c r="DM297" s="29" t="s">
        <v>6019</v>
      </c>
      <c r="DN297" s="301" t="s">
        <v>4560</v>
      </c>
      <c r="DO297" s="306" t="s">
        <v>6017</v>
      </c>
    </row>
    <row r="298" spans="1:119" ht="15.6" customHeight="1" thickBot="1">
      <c r="A298" s="308">
        <v>293</v>
      </c>
      <c r="B298" s="350"/>
      <c r="C298" s="350"/>
      <c r="D298" s="460"/>
      <c r="E298" s="375"/>
      <c r="F298" s="350"/>
      <c r="G298" s="370"/>
      <c r="H298" s="370"/>
      <c r="I298" s="370"/>
      <c r="J298" s="292" t="s">
        <v>4649</v>
      </c>
      <c r="K298" s="308" t="s">
        <v>4383</v>
      </c>
      <c r="L298" s="311" t="s">
        <v>5791</v>
      </c>
      <c r="M298" s="308" t="s">
        <v>4507</v>
      </c>
      <c r="N298" s="311" t="s">
        <v>4701</v>
      </c>
      <c r="O298" s="14" t="s">
        <v>4506</v>
      </c>
      <c r="P298" s="311" t="s">
        <v>4420</v>
      </c>
      <c r="Q298" s="311" t="s">
        <v>4470</v>
      </c>
      <c r="R298" s="311" t="s">
        <v>4420</v>
      </c>
      <c r="S298" s="311" t="s">
        <v>5791</v>
      </c>
      <c r="T298" s="86" t="s">
        <v>4420</v>
      </c>
      <c r="U298" s="86" t="s">
        <v>5791</v>
      </c>
      <c r="V298" s="86" t="s">
        <v>4420</v>
      </c>
      <c r="W298" s="86" t="s">
        <v>5791</v>
      </c>
      <c r="X298" s="311" t="s">
        <v>4420</v>
      </c>
      <c r="Y298" s="311" t="s">
        <v>5791</v>
      </c>
      <c r="Z298" s="311" t="s">
        <v>4559</v>
      </c>
      <c r="AA298" s="90">
        <v>0</v>
      </c>
      <c r="AB298" s="228">
        <v>0</v>
      </c>
      <c r="AC298" s="14">
        <v>1777</v>
      </c>
      <c r="AD298" s="308" t="s">
        <v>4646</v>
      </c>
      <c r="AE298" s="23">
        <f>INDEX('[2]Cross-Section Database'!$C$2:$V$2928,MATCH(AD298,'[2]Cross-Section Database'!$B$2:$B$2928,0),3)</f>
        <v>200</v>
      </c>
      <c r="AF298" s="23">
        <f>INDEX('[2]Cross-Section Database'!$C$2:$V$2928,MATCH(AD298,'[2]Cross-Section Database'!$B$2:$B$2928,0),4)</f>
        <v>200</v>
      </c>
      <c r="AG298" s="23">
        <f>INDEX('[2]Cross-Section Database'!$C$2:$V$2928,MATCH(AD298,'[2]Cross-Section Database'!$B$2:$B$2928,0),6)</f>
        <v>8</v>
      </c>
      <c r="AH298" s="23">
        <f>INDEX('[2]Cross-Section Database'!$C$2:$V$2928,MATCH(AD298,'[2]Cross-Section Database'!$B$2:$B$2928,0),5)</f>
        <v>8</v>
      </c>
      <c r="AI298" s="23">
        <v>1400</v>
      </c>
      <c r="AJ298" s="308" t="s">
        <v>5595</v>
      </c>
      <c r="AK298" s="23">
        <f>INDEX('[2]Cross-Section Database'!$C$2:$V$3928,MATCH(AJ298,'[2]Cross-Section Database'!$B$2:$B$3928,0),3)</f>
        <v>300</v>
      </c>
      <c r="AL298" s="23">
        <f>INDEX('[2]Cross-Section Database'!$C$2:$V$3928,MATCH(AJ298,'[2]Cross-Section Database'!$B$2:$B$3928,0),4)</f>
        <v>150</v>
      </c>
      <c r="AM298" s="23">
        <f>INDEX('[2]Cross-Section Database'!$C$2:$V$3928,MATCH(AJ298,'[2]Cross-Section Database'!$B$2:$B$3928,0),6)</f>
        <v>9</v>
      </c>
      <c r="AN298" s="23">
        <f>INDEX('[2]Cross-Section Database'!$C$2:$V$3928,MATCH(AJ298,'[2]Cross-Section Database'!$B$2:$B$3928,0),5)</f>
        <v>6.5</v>
      </c>
      <c r="AO298" s="23">
        <v>1200</v>
      </c>
      <c r="AP298" s="23">
        <f>INDEX('[2]Cross-Section Database'!$C$2:$V$3928,MATCH(AJ298,'[2]Cross-Section Database'!$B$2:$B$3928,0),11)</f>
        <v>69325191</v>
      </c>
      <c r="AQ298" s="25">
        <v>522077</v>
      </c>
      <c r="AR298" s="23">
        <v>12</v>
      </c>
      <c r="AS298" s="23">
        <v>200</v>
      </c>
      <c r="AT298" s="23">
        <v>340</v>
      </c>
      <c r="AU298" s="23">
        <v>20</v>
      </c>
      <c r="AV298" s="23">
        <f t="shared" si="162"/>
        <v>20</v>
      </c>
      <c r="AW298" s="308" t="s">
        <v>5658</v>
      </c>
      <c r="AX298" s="311" t="s">
        <v>4650</v>
      </c>
      <c r="AY298" s="23">
        <f>190/AZ298/0.25</f>
        <v>47.5</v>
      </c>
      <c r="AZ298" s="311">
        <v>16</v>
      </c>
      <c r="BA298" s="311">
        <f t="shared" si="160"/>
        <v>157</v>
      </c>
      <c r="BB298" s="23">
        <v>65</v>
      </c>
      <c r="BC298" s="23">
        <f>BB298</f>
        <v>65</v>
      </c>
      <c r="BD298" s="23">
        <v>105</v>
      </c>
      <c r="BE298" s="23">
        <v>110</v>
      </c>
      <c r="BF298" s="23">
        <v>0</v>
      </c>
      <c r="BG298" s="19" t="s">
        <v>4470</v>
      </c>
      <c r="BH298" s="311" t="s">
        <v>6204</v>
      </c>
      <c r="BI298" s="311" t="s">
        <v>6204</v>
      </c>
      <c r="BJ298" s="311">
        <v>2</v>
      </c>
      <c r="BK298" s="311">
        <v>6</v>
      </c>
      <c r="BL298" s="191" t="s">
        <v>5791</v>
      </c>
      <c r="BM298" s="192" t="s">
        <v>5791</v>
      </c>
      <c r="BN298" s="192" t="s">
        <v>5791</v>
      </c>
      <c r="BO298" s="192" t="s">
        <v>5791</v>
      </c>
      <c r="BP298" s="192" t="s">
        <v>5791</v>
      </c>
      <c r="BQ298" s="192" t="s">
        <v>5791</v>
      </c>
      <c r="BR298" s="192" t="s">
        <v>5791</v>
      </c>
      <c r="BS298" s="192" t="s">
        <v>5791</v>
      </c>
      <c r="BT298" s="191" t="s">
        <v>5791</v>
      </c>
      <c r="BU298" s="192" t="s">
        <v>5791</v>
      </c>
      <c r="BV298" s="192" t="s">
        <v>5791</v>
      </c>
      <c r="BW298" s="192" t="s">
        <v>5791</v>
      </c>
      <c r="BX298" s="192" t="s">
        <v>5791</v>
      </c>
      <c r="BY298" s="192" t="s">
        <v>5791</v>
      </c>
      <c r="BZ298" s="214" t="s">
        <v>5791</v>
      </c>
      <c r="CA298" s="192" t="s">
        <v>5791</v>
      </c>
      <c r="CB298" s="192" t="s">
        <v>5791</v>
      </c>
      <c r="CC298" s="192" t="s">
        <v>5791</v>
      </c>
      <c r="CD298" s="192" t="s">
        <v>5791</v>
      </c>
      <c r="CE298" s="192" t="s">
        <v>5791</v>
      </c>
      <c r="CF298" s="214" t="s">
        <v>5791</v>
      </c>
      <c r="CG298" s="35" t="s">
        <v>5650</v>
      </c>
      <c r="CH298" s="23">
        <v>235</v>
      </c>
      <c r="CI298" s="23">
        <v>301.7</v>
      </c>
      <c r="CJ298" s="23">
        <v>370</v>
      </c>
      <c r="CK298" s="23">
        <v>436.5</v>
      </c>
      <c r="CL298" s="82">
        <v>200000</v>
      </c>
      <c r="CM298" s="35" t="s">
        <v>5650</v>
      </c>
      <c r="CN298" s="84">
        <v>235</v>
      </c>
      <c r="CO298" s="23">
        <v>267.5</v>
      </c>
      <c r="CP298" s="84">
        <v>370</v>
      </c>
      <c r="CQ298" s="23">
        <v>379.1</v>
      </c>
      <c r="CR298" s="82">
        <v>193000</v>
      </c>
      <c r="CS298" s="35" t="s">
        <v>5650</v>
      </c>
      <c r="CT298" s="84">
        <v>235</v>
      </c>
      <c r="CU298" s="23">
        <v>313</v>
      </c>
      <c r="CV298" s="84">
        <v>370</v>
      </c>
      <c r="CW298" s="23">
        <v>448.4</v>
      </c>
      <c r="CX298" s="82">
        <v>202000</v>
      </c>
      <c r="CY298" s="308" t="s">
        <v>5659</v>
      </c>
      <c r="CZ298" s="83">
        <v>64</v>
      </c>
      <c r="DA298" s="33">
        <v>4.4000000000000004</v>
      </c>
      <c r="DB298" s="82">
        <v>34258</v>
      </c>
      <c r="DC298" s="201" t="s">
        <v>5791</v>
      </c>
      <c r="DD298" s="202" t="s">
        <v>5791</v>
      </c>
      <c r="DE298" s="203" t="s">
        <v>5791</v>
      </c>
      <c r="DF298" s="275" t="s">
        <v>5791</v>
      </c>
      <c r="DG298" s="311">
        <v>8.8000000000000007</v>
      </c>
      <c r="DH298" s="311">
        <v>640</v>
      </c>
      <c r="DI298" s="311">
        <v>752</v>
      </c>
      <c r="DJ298" s="311">
        <v>800</v>
      </c>
      <c r="DK298" s="311">
        <v>946</v>
      </c>
      <c r="DL298" s="76">
        <v>200000</v>
      </c>
      <c r="DM298" s="27" t="s">
        <v>6018</v>
      </c>
      <c r="DN298" s="308" t="s">
        <v>4560</v>
      </c>
      <c r="DO298" s="306" t="s">
        <v>6017</v>
      </c>
    </row>
    <row r="299" spans="1:119" ht="15.6" customHeight="1">
      <c r="A299" s="301">
        <v>294</v>
      </c>
      <c r="B299" s="348">
        <v>43</v>
      </c>
      <c r="C299" s="348">
        <v>2009</v>
      </c>
      <c r="D299" s="357" t="s">
        <v>4680</v>
      </c>
      <c r="E299" s="359" t="s">
        <v>4848</v>
      </c>
      <c r="F299" s="348">
        <v>6</v>
      </c>
      <c r="G299" s="368" t="s">
        <v>5934</v>
      </c>
      <c r="H299" s="368" t="s">
        <v>5933</v>
      </c>
      <c r="I299" s="368" t="s">
        <v>6248</v>
      </c>
      <c r="J299" s="284" t="s">
        <v>4429</v>
      </c>
      <c r="K299" s="301" t="s">
        <v>6320</v>
      </c>
      <c r="L299" s="310" t="s">
        <v>5791</v>
      </c>
      <c r="M299" s="301" t="s">
        <v>4508</v>
      </c>
      <c r="N299" s="310" t="s">
        <v>4702</v>
      </c>
      <c r="O299" s="18" t="s">
        <v>4506</v>
      </c>
      <c r="P299" s="310" t="s">
        <v>6317</v>
      </c>
      <c r="Q299" s="310" t="s">
        <v>4420</v>
      </c>
      <c r="R299" s="310" t="s">
        <v>4420</v>
      </c>
      <c r="S299" s="310" t="s">
        <v>5791</v>
      </c>
      <c r="T299" s="59" t="s">
        <v>4420</v>
      </c>
      <c r="U299" s="59" t="s">
        <v>5791</v>
      </c>
      <c r="V299" s="59" t="s">
        <v>4420</v>
      </c>
      <c r="W299" s="59" t="s">
        <v>5791</v>
      </c>
      <c r="X299" s="310" t="s">
        <v>4420</v>
      </c>
      <c r="Y299" s="310" t="s">
        <v>5791</v>
      </c>
      <c r="Z299" s="310" t="s">
        <v>4558</v>
      </c>
      <c r="AA299" s="18">
        <v>10</v>
      </c>
      <c r="AB299" s="223">
        <v>0</v>
      </c>
      <c r="AC299" s="18">
        <v>0</v>
      </c>
      <c r="AD299" s="300" t="s">
        <v>6347</v>
      </c>
      <c r="AE299" s="16">
        <f>INDEX('[2]Cross-Section Database'!$C$2:$V$2928,MATCH(AD299,'[2]Cross-Section Database'!$B$2:$B$2928,0),3)</f>
        <v>200</v>
      </c>
      <c r="AF299" s="16">
        <f>INDEX('[2]Cross-Section Database'!$C$2:$V$2928,MATCH(AD299,'[2]Cross-Section Database'!$B$2:$B$2928,0),4)</f>
        <v>204</v>
      </c>
      <c r="AG299" s="16">
        <f>INDEX('[2]Cross-Section Database'!$C$2:$V$2928,MATCH(AD299,'[2]Cross-Section Database'!$B$2:$B$2928,0),6)</f>
        <v>12</v>
      </c>
      <c r="AH299" s="16">
        <f>INDEX('[2]Cross-Section Database'!$C$2:$V$2928,MATCH(AD299,'[2]Cross-Section Database'!$B$2:$B$2928,0),5)</f>
        <v>12</v>
      </c>
      <c r="AI299" s="16">
        <v>3000</v>
      </c>
      <c r="AJ299" s="300" t="s">
        <v>6348</v>
      </c>
      <c r="AK299" s="16">
        <f>INDEX('[2]Cross-Section Database'!$C$2:$V$2928,MATCH(AJ299,'[2]Cross-Section Database'!$B$2:$B$2928,0),3)</f>
        <v>248</v>
      </c>
      <c r="AL299" s="16">
        <f>INDEX('[2]Cross-Section Database'!$C$2:$V$2928,MATCH(AJ299,'[2]Cross-Section Database'!$B$2:$B$2928,0),4)</f>
        <v>124</v>
      </c>
      <c r="AM299" s="16">
        <f>INDEX('[2]Cross-Section Database'!$C$2:$V$2928,MATCH(AJ299,'[2]Cross-Section Database'!$B$2:$B$2928,0),6)</f>
        <v>8</v>
      </c>
      <c r="AN299" s="16">
        <f>INDEX('[2]Cross-Section Database'!$C$2:$V$2928,MATCH(AJ299,'[2]Cross-Section Database'!$B$2:$B$2928,0),5)</f>
        <v>5</v>
      </c>
      <c r="AO299" s="16">
        <v>1300</v>
      </c>
      <c r="AP299" s="16">
        <f>INDEX('[2]Cross-Section Database'!$C$2:$V$3928,MATCH(AJ299,'[2]Cross-Section Database'!$B$2:$B$3928,0),11)</f>
        <v>34500000</v>
      </c>
      <c r="AQ299" s="26">
        <f>INDEX('[2]Cross-Section Database'!$C$2:$V$3928,MATCH(AJ299,'[2]Cross-Section Database'!$B$2:$B$3928,0),12)</f>
        <v>312000</v>
      </c>
      <c r="AR299" s="16">
        <v>12</v>
      </c>
      <c r="AS299" s="16">
        <v>200</v>
      </c>
      <c r="AT299" s="16">
        <v>300</v>
      </c>
      <c r="AU299" s="16">
        <f t="shared" ref="AU299:AU304" si="163">(AT299-AK299)-AV299</f>
        <v>26</v>
      </c>
      <c r="AV299" s="16">
        <f t="shared" si="162"/>
        <v>26</v>
      </c>
      <c r="AW299" s="300" t="s">
        <v>5806</v>
      </c>
      <c r="AX299" s="309" t="s">
        <v>6129</v>
      </c>
      <c r="AY299" s="309" t="s">
        <v>6129</v>
      </c>
      <c r="AZ299" s="309">
        <v>20</v>
      </c>
      <c r="BA299" s="309">
        <f t="shared" si="160"/>
        <v>245</v>
      </c>
      <c r="BB299" s="16">
        <v>85.5</v>
      </c>
      <c r="BC299" s="16">
        <v>85.5</v>
      </c>
      <c r="BD299" s="16">
        <v>0</v>
      </c>
      <c r="BE299" s="16">
        <v>90</v>
      </c>
      <c r="BF299" s="16">
        <f t="shared" ref="BF299:BF309" si="164">AT299-BB299-BC299-BD299</f>
        <v>129</v>
      </c>
      <c r="BG299" s="22" t="s">
        <v>6318</v>
      </c>
      <c r="BH299" s="309" t="s">
        <v>6204</v>
      </c>
      <c r="BI299" s="309" t="s">
        <v>6204</v>
      </c>
      <c r="BJ299" s="309">
        <v>2</v>
      </c>
      <c r="BK299" s="309">
        <v>4</v>
      </c>
      <c r="BL299" s="194" t="s">
        <v>5791</v>
      </c>
      <c r="BM299" s="195" t="s">
        <v>5791</v>
      </c>
      <c r="BN299" s="195" t="s">
        <v>5791</v>
      </c>
      <c r="BO299" s="195" t="s">
        <v>5791</v>
      </c>
      <c r="BP299" s="195" t="s">
        <v>5791</v>
      </c>
      <c r="BQ299" s="195" t="s">
        <v>5791</v>
      </c>
      <c r="BR299" s="195" t="s">
        <v>5791</v>
      </c>
      <c r="BS299" s="195" t="s">
        <v>5791</v>
      </c>
      <c r="BT299" s="194" t="s">
        <v>5791</v>
      </c>
      <c r="BU299" s="195" t="s">
        <v>5791</v>
      </c>
      <c r="BV299" s="195" t="s">
        <v>5791</v>
      </c>
      <c r="BW299" s="195" t="s">
        <v>5791</v>
      </c>
      <c r="BX299" s="195" t="s">
        <v>5791</v>
      </c>
      <c r="BY299" s="195" t="s">
        <v>5791</v>
      </c>
      <c r="BZ299" s="213" t="s">
        <v>5791</v>
      </c>
      <c r="CA299" s="195" t="s">
        <v>5791</v>
      </c>
      <c r="CB299" s="195" t="s">
        <v>5791</v>
      </c>
      <c r="CC299" s="195" t="s">
        <v>5791</v>
      </c>
      <c r="CD299" s="195" t="s">
        <v>5791</v>
      </c>
      <c r="CE299" s="195" t="s">
        <v>5791</v>
      </c>
      <c r="CF299" s="213" t="s">
        <v>5791</v>
      </c>
      <c r="CG299" s="309" t="s">
        <v>6319</v>
      </c>
      <c r="CH299" s="309">
        <v>275</v>
      </c>
      <c r="CI299" s="309">
        <v>376</v>
      </c>
      <c r="CJ299" s="16">
        <v>410</v>
      </c>
      <c r="CK299" s="16">
        <v>537.5</v>
      </c>
      <c r="CL299" s="80">
        <v>196000</v>
      </c>
      <c r="CM299" s="300" t="s">
        <v>6319</v>
      </c>
      <c r="CN299" s="64">
        <v>275</v>
      </c>
      <c r="CO299" s="16">
        <v>372</v>
      </c>
      <c r="CP299" s="71">
        <v>410</v>
      </c>
      <c r="CQ299" s="16">
        <v>513.5</v>
      </c>
      <c r="CR299" s="80">
        <v>200500</v>
      </c>
      <c r="CS299" s="309" t="s">
        <v>6319</v>
      </c>
      <c r="CT299" s="16">
        <v>275</v>
      </c>
      <c r="CU299" s="16">
        <v>305</v>
      </c>
      <c r="CV299" s="16">
        <v>410</v>
      </c>
      <c r="CW299" s="21">
        <v>467</v>
      </c>
      <c r="CX299" s="68">
        <v>203000</v>
      </c>
      <c r="CY299" s="198" t="s">
        <v>5791</v>
      </c>
      <c r="CZ299" s="199" t="s">
        <v>5791</v>
      </c>
      <c r="DA299" s="199" t="s">
        <v>5791</v>
      </c>
      <c r="DB299" s="200" t="s">
        <v>5791</v>
      </c>
      <c r="DC299" s="198" t="s">
        <v>5791</v>
      </c>
      <c r="DD299" s="199" t="s">
        <v>5791</v>
      </c>
      <c r="DE299" s="200" t="s">
        <v>5791</v>
      </c>
      <c r="DF299" s="273" t="s">
        <v>5791</v>
      </c>
      <c r="DG299" s="309">
        <v>8.8000000000000007</v>
      </c>
      <c r="DH299" s="309">
        <v>640</v>
      </c>
      <c r="DI299" s="30">
        <v>730</v>
      </c>
      <c r="DJ299" s="309">
        <v>800</v>
      </c>
      <c r="DK299" s="30">
        <v>940</v>
      </c>
      <c r="DL299" s="75">
        <v>200000</v>
      </c>
      <c r="DM299" s="28" t="s">
        <v>5831</v>
      </c>
      <c r="DN299" s="309" t="s">
        <v>4560</v>
      </c>
      <c r="DO299" s="305" t="s">
        <v>4565</v>
      </c>
    </row>
    <row r="300" spans="1:119">
      <c r="A300" s="301">
        <v>295</v>
      </c>
      <c r="B300" s="349"/>
      <c r="C300" s="349"/>
      <c r="D300" s="358"/>
      <c r="E300" s="360"/>
      <c r="F300" s="349"/>
      <c r="G300" s="369"/>
      <c r="H300" s="369"/>
      <c r="I300" s="369"/>
      <c r="J300" s="286" t="s">
        <v>4430</v>
      </c>
      <c r="K300" s="301" t="s">
        <v>4383</v>
      </c>
      <c r="L300" s="310" t="s">
        <v>5791</v>
      </c>
      <c r="M300" s="301" t="s">
        <v>4508</v>
      </c>
      <c r="N300" s="310" t="s">
        <v>4702</v>
      </c>
      <c r="O300" s="18" t="s">
        <v>4506</v>
      </c>
      <c r="P300" s="310" t="s">
        <v>6317</v>
      </c>
      <c r="Q300" s="310" t="s">
        <v>4420</v>
      </c>
      <c r="R300" s="310" t="s">
        <v>4420</v>
      </c>
      <c r="S300" s="310" t="s">
        <v>5791</v>
      </c>
      <c r="T300" s="59" t="s">
        <v>4420</v>
      </c>
      <c r="U300" s="59" t="s">
        <v>5791</v>
      </c>
      <c r="V300" s="59" t="s">
        <v>4420</v>
      </c>
      <c r="W300" s="59" t="s">
        <v>5791</v>
      </c>
      <c r="X300" s="310" t="s">
        <v>4420</v>
      </c>
      <c r="Y300" s="310" t="s">
        <v>5791</v>
      </c>
      <c r="Z300" s="310" t="s">
        <v>4558</v>
      </c>
      <c r="AA300" s="18">
        <v>10</v>
      </c>
      <c r="AB300" s="223">
        <v>0</v>
      </c>
      <c r="AC300" s="18">
        <v>0</v>
      </c>
      <c r="AD300" s="301" t="s">
        <v>6347</v>
      </c>
      <c r="AE300" s="21">
        <f>INDEX('[2]Cross-Section Database'!$C$2:$V$2928,MATCH(AD300,'[2]Cross-Section Database'!$B$2:$B$2928,0),3)</f>
        <v>200</v>
      </c>
      <c r="AF300" s="21">
        <f>INDEX('[2]Cross-Section Database'!$C$2:$V$2928,MATCH(AD300,'[2]Cross-Section Database'!$B$2:$B$2928,0),4)</f>
        <v>204</v>
      </c>
      <c r="AG300" s="21">
        <f>INDEX('[2]Cross-Section Database'!$C$2:$V$2928,MATCH(AD300,'[2]Cross-Section Database'!$B$2:$B$2928,0),6)</f>
        <v>12</v>
      </c>
      <c r="AH300" s="21">
        <f>INDEX('[2]Cross-Section Database'!$C$2:$V$2928,MATCH(AD300,'[2]Cross-Section Database'!$B$2:$B$2928,0),5)</f>
        <v>12</v>
      </c>
      <c r="AI300" s="21">
        <v>3000</v>
      </c>
      <c r="AJ300" s="301" t="s">
        <v>6348</v>
      </c>
      <c r="AK300" s="21">
        <f>INDEX('[2]Cross-Section Database'!$C$2:$V$2928,MATCH(AJ300,'[2]Cross-Section Database'!$B$2:$B$2928,0),3)</f>
        <v>248</v>
      </c>
      <c r="AL300" s="21">
        <f>INDEX('[2]Cross-Section Database'!$C$2:$V$2928,MATCH(AJ300,'[2]Cross-Section Database'!$B$2:$B$2928,0),4)</f>
        <v>124</v>
      </c>
      <c r="AM300" s="21">
        <f>INDEX('[2]Cross-Section Database'!$C$2:$V$2928,MATCH(AJ300,'[2]Cross-Section Database'!$B$2:$B$2928,0),6)</f>
        <v>8</v>
      </c>
      <c r="AN300" s="21">
        <f>INDEX('[2]Cross-Section Database'!$C$2:$V$2928,MATCH(AJ300,'[2]Cross-Section Database'!$B$2:$B$2928,0),5)</f>
        <v>5</v>
      </c>
      <c r="AO300" s="21">
        <v>1300</v>
      </c>
      <c r="AP300" s="21">
        <f>INDEX('[2]Cross-Section Database'!$C$2:$V$3928,MATCH(AJ300,'[2]Cross-Section Database'!$B$2:$B$3928,0),11)</f>
        <v>34500000</v>
      </c>
      <c r="AQ300" s="24">
        <f>INDEX('[2]Cross-Section Database'!$C$2:$V$3928,MATCH(AJ300,'[2]Cross-Section Database'!$B$2:$B$3928,0),12)</f>
        <v>312000</v>
      </c>
      <c r="AR300" s="21">
        <v>15</v>
      </c>
      <c r="AS300" s="21">
        <v>200</v>
      </c>
      <c r="AT300" s="21">
        <v>300</v>
      </c>
      <c r="AU300" s="21">
        <f t="shared" si="163"/>
        <v>26</v>
      </c>
      <c r="AV300" s="21">
        <f t="shared" si="162"/>
        <v>26</v>
      </c>
      <c r="AW300" s="301" t="s">
        <v>5806</v>
      </c>
      <c r="AX300" s="310" t="s">
        <v>6129</v>
      </c>
      <c r="AY300" s="310" t="s">
        <v>6129</v>
      </c>
      <c r="AZ300" s="310">
        <v>24</v>
      </c>
      <c r="BA300" s="310">
        <f t="shared" si="160"/>
        <v>353</v>
      </c>
      <c r="BB300" s="21">
        <v>85.5</v>
      </c>
      <c r="BC300" s="21">
        <v>85.5</v>
      </c>
      <c r="BD300" s="21">
        <v>0</v>
      </c>
      <c r="BE300" s="21">
        <v>90</v>
      </c>
      <c r="BF300" s="21">
        <f t="shared" si="164"/>
        <v>129</v>
      </c>
      <c r="BG300" s="15" t="s">
        <v>6318</v>
      </c>
      <c r="BH300" s="310" t="s">
        <v>6204</v>
      </c>
      <c r="BI300" s="310" t="s">
        <v>6204</v>
      </c>
      <c r="BJ300" s="310">
        <v>2</v>
      </c>
      <c r="BK300" s="310">
        <v>4</v>
      </c>
      <c r="BL300" s="196" t="s">
        <v>5791</v>
      </c>
      <c r="BM300" s="197" t="s">
        <v>5791</v>
      </c>
      <c r="BN300" s="197" t="s">
        <v>5791</v>
      </c>
      <c r="BO300" s="197" t="s">
        <v>5791</v>
      </c>
      <c r="BP300" s="197" t="s">
        <v>5791</v>
      </c>
      <c r="BQ300" s="197" t="s">
        <v>5791</v>
      </c>
      <c r="BR300" s="197" t="s">
        <v>5791</v>
      </c>
      <c r="BS300" s="197" t="s">
        <v>5791</v>
      </c>
      <c r="BT300" s="196" t="s">
        <v>5791</v>
      </c>
      <c r="BU300" s="197" t="s">
        <v>5791</v>
      </c>
      <c r="BV300" s="197" t="s">
        <v>5791</v>
      </c>
      <c r="BW300" s="197" t="s">
        <v>5791</v>
      </c>
      <c r="BX300" s="197" t="s">
        <v>5791</v>
      </c>
      <c r="BY300" s="197" t="s">
        <v>5791</v>
      </c>
      <c r="BZ300" s="212" t="s">
        <v>5791</v>
      </c>
      <c r="CA300" s="197" t="s">
        <v>5791</v>
      </c>
      <c r="CB300" s="197" t="s">
        <v>5791</v>
      </c>
      <c r="CC300" s="197" t="s">
        <v>5791</v>
      </c>
      <c r="CD300" s="197" t="s">
        <v>5791</v>
      </c>
      <c r="CE300" s="197" t="s">
        <v>5791</v>
      </c>
      <c r="CF300" s="212" t="s">
        <v>5791</v>
      </c>
      <c r="CG300" s="310" t="s">
        <v>6319</v>
      </c>
      <c r="CH300" s="310">
        <v>275</v>
      </c>
      <c r="CI300" s="310">
        <v>376</v>
      </c>
      <c r="CJ300" s="21">
        <v>410</v>
      </c>
      <c r="CK300" s="21">
        <v>537.5</v>
      </c>
      <c r="CL300" s="68">
        <v>196000</v>
      </c>
      <c r="CM300" s="301" t="s">
        <v>6319</v>
      </c>
      <c r="CN300" s="59">
        <v>275</v>
      </c>
      <c r="CO300" s="21">
        <v>372</v>
      </c>
      <c r="CP300" s="46">
        <v>410</v>
      </c>
      <c r="CQ300" s="21">
        <v>513.5</v>
      </c>
      <c r="CR300" s="68">
        <v>200500</v>
      </c>
      <c r="CS300" s="310" t="s">
        <v>6319</v>
      </c>
      <c r="CT300" s="21">
        <v>275</v>
      </c>
      <c r="CU300" s="21">
        <v>309.7</v>
      </c>
      <c r="CV300" s="21">
        <v>410</v>
      </c>
      <c r="CW300" s="21">
        <v>515.29999999999995</v>
      </c>
      <c r="CX300" s="68">
        <v>204000</v>
      </c>
      <c r="CY300" s="201" t="s">
        <v>5791</v>
      </c>
      <c r="CZ300" s="202" t="s">
        <v>5791</v>
      </c>
      <c r="DA300" s="202" t="s">
        <v>5791</v>
      </c>
      <c r="DB300" s="203" t="s">
        <v>5791</v>
      </c>
      <c r="DC300" s="201" t="s">
        <v>5791</v>
      </c>
      <c r="DD300" s="202" t="s">
        <v>5791</v>
      </c>
      <c r="DE300" s="203" t="s">
        <v>5791</v>
      </c>
      <c r="DF300" s="274" t="s">
        <v>5791</v>
      </c>
      <c r="DG300" s="310">
        <v>8.8000000000000007</v>
      </c>
      <c r="DH300" s="310">
        <v>640</v>
      </c>
      <c r="DI300" s="32">
        <v>730</v>
      </c>
      <c r="DJ300" s="310">
        <v>800</v>
      </c>
      <c r="DK300" s="32">
        <v>940</v>
      </c>
      <c r="DL300" s="60">
        <v>200000</v>
      </c>
      <c r="DM300" s="77" t="s">
        <v>5850</v>
      </c>
      <c r="DN300" s="310" t="s">
        <v>4560</v>
      </c>
      <c r="DO300" s="306" t="s">
        <v>4565</v>
      </c>
    </row>
    <row r="301" spans="1:119">
      <c r="A301" s="301">
        <v>296</v>
      </c>
      <c r="B301" s="349"/>
      <c r="C301" s="349"/>
      <c r="D301" s="358"/>
      <c r="E301" s="360"/>
      <c r="F301" s="349"/>
      <c r="G301" s="369"/>
      <c r="H301" s="369"/>
      <c r="I301" s="369"/>
      <c r="J301" s="286" t="s">
        <v>4431</v>
      </c>
      <c r="K301" s="301" t="s">
        <v>4383</v>
      </c>
      <c r="L301" s="310" t="s">
        <v>5791</v>
      </c>
      <c r="M301" s="301" t="s">
        <v>4508</v>
      </c>
      <c r="N301" s="310" t="s">
        <v>4702</v>
      </c>
      <c r="O301" s="18" t="s">
        <v>4506</v>
      </c>
      <c r="P301" s="310" t="s">
        <v>4420</v>
      </c>
      <c r="Q301" s="310" t="s">
        <v>4420</v>
      </c>
      <c r="R301" s="310" t="s">
        <v>4420</v>
      </c>
      <c r="S301" s="310" t="s">
        <v>5791</v>
      </c>
      <c r="T301" s="59" t="s">
        <v>4420</v>
      </c>
      <c r="U301" s="59" t="s">
        <v>5791</v>
      </c>
      <c r="V301" s="59" t="s">
        <v>4420</v>
      </c>
      <c r="W301" s="59" t="s">
        <v>5791</v>
      </c>
      <c r="X301" s="310" t="s">
        <v>4420</v>
      </c>
      <c r="Y301" s="310" t="s">
        <v>5791</v>
      </c>
      <c r="Z301" s="310" t="s">
        <v>4558</v>
      </c>
      <c r="AA301" s="18">
        <v>10</v>
      </c>
      <c r="AB301" s="223">
        <v>0</v>
      </c>
      <c r="AC301" s="18">
        <v>0</v>
      </c>
      <c r="AD301" s="301" t="s">
        <v>6349</v>
      </c>
      <c r="AE301" s="21">
        <f>INDEX('[2]Cross-Section Database'!$C$2:$V$2928,MATCH(AD301,'[2]Cross-Section Database'!$B$2:$B$2928,0),3)</f>
        <v>244</v>
      </c>
      <c r="AF301" s="21">
        <f>INDEX('[2]Cross-Section Database'!$C$2:$V$2928,MATCH(AD301,'[2]Cross-Section Database'!$B$2:$B$2928,0),4)</f>
        <v>252</v>
      </c>
      <c r="AG301" s="21">
        <f>INDEX('[2]Cross-Section Database'!$C$2:$V$2928,MATCH(AD301,'[2]Cross-Section Database'!$B$2:$B$2928,0),6)</f>
        <v>11</v>
      </c>
      <c r="AH301" s="21">
        <f>INDEX('[2]Cross-Section Database'!$C$2:$V$2928,MATCH(AD301,'[2]Cross-Section Database'!$B$2:$B$2928,0),5)</f>
        <v>11</v>
      </c>
      <c r="AI301" s="21">
        <v>3000</v>
      </c>
      <c r="AJ301" s="301" t="s">
        <v>6350</v>
      </c>
      <c r="AK301" s="21">
        <f>INDEX('[2]Cross-Section Database'!$C$2:$V$2928,MATCH(AJ301,'[2]Cross-Section Database'!$B$2:$B$2928,0),3)</f>
        <v>400</v>
      </c>
      <c r="AL301" s="21">
        <f>INDEX('[2]Cross-Section Database'!$C$2:$V$2928,MATCH(AJ301,'[2]Cross-Section Database'!$B$2:$B$2928,0),4)</f>
        <v>200</v>
      </c>
      <c r="AM301" s="21">
        <f>INDEX('[2]Cross-Section Database'!$C$2:$V$2928,MATCH(AJ301,'[2]Cross-Section Database'!$B$2:$B$2928,0),6)</f>
        <v>13</v>
      </c>
      <c r="AN301" s="21">
        <f>INDEX('[2]Cross-Section Database'!$C$2:$V$2928,MATCH(AJ301,'[2]Cross-Section Database'!$B$2:$B$2928,0),5)</f>
        <v>8</v>
      </c>
      <c r="AO301" s="21">
        <v>1300</v>
      </c>
      <c r="AP301" s="21">
        <f>INDEX('[2]Cross-Section Database'!$C$2:$V$3928,MATCH(AJ301,'[2]Cross-Section Database'!$B$2:$B$3928,0),11)</f>
        <v>235000000</v>
      </c>
      <c r="AQ301" s="24">
        <f>INDEX('[2]Cross-Section Database'!$C$2:$V$3928,MATCH(AJ301,'[2]Cross-Section Database'!$B$2:$B$3928,0),12)</f>
        <v>1310000</v>
      </c>
      <c r="AR301" s="21">
        <v>12</v>
      </c>
      <c r="AS301" s="21">
        <v>200</v>
      </c>
      <c r="AT301" s="21">
        <v>500</v>
      </c>
      <c r="AU301" s="21">
        <f t="shared" si="163"/>
        <v>50</v>
      </c>
      <c r="AV301" s="21">
        <f t="shared" si="162"/>
        <v>50</v>
      </c>
      <c r="AW301" s="301" t="s">
        <v>5806</v>
      </c>
      <c r="AX301" s="310" t="s">
        <v>6129</v>
      </c>
      <c r="AY301" s="21" t="s">
        <v>6129</v>
      </c>
      <c r="AZ301" s="310">
        <v>20</v>
      </c>
      <c r="BA301" s="310">
        <f t="shared" si="160"/>
        <v>245</v>
      </c>
      <c r="BB301" s="21">
        <v>110</v>
      </c>
      <c r="BC301" s="21">
        <f t="shared" ref="BC301:BC347" si="165">BB301</f>
        <v>110</v>
      </c>
      <c r="BD301" s="21">
        <v>90</v>
      </c>
      <c r="BE301" s="21">
        <v>90</v>
      </c>
      <c r="BF301" s="21">
        <f t="shared" si="164"/>
        <v>190</v>
      </c>
      <c r="BG301" s="15" t="s">
        <v>6317</v>
      </c>
      <c r="BH301" s="310" t="s">
        <v>4465</v>
      </c>
      <c r="BI301" s="310" t="s">
        <v>6204</v>
      </c>
      <c r="BJ301" s="310">
        <v>4</v>
      </c>
      <c r="BK301" s="310">
        <v>6</v>
      </c>
      <c r="BL301" s="196" t="s">
        <v>5791</v>
      </c>
      <c r="BM301" s="197" t="s">
        <v>5791</v>
      </c>
      <c r="BN301" s="197" t="s">
        <v>5791</v>
      </c>
      <c r="BO301" s="197" t="s">
        <v>5791</v>
      </c>
      <c r="BP301" s="197" t="s">
        <v>5791</v>
      </c>
      <c r="BQ301" s="197" t="s">
        <v>5791</v>
      </c>
      <c r="BR301" s="197" t="s">
        <v>5791</v>
      </c>
      <c r="BS301" s="197" t="s">
        <v>5791</v>
      </c>
      <c r="BT301" s="196" t="s">
        <v>5791</v>
      </c>
      <c r="BU301" s="197" t="s">
        <v>5791</v>
      </c>
      <c r="BV301" s="197" t="s">
        <v>5791</v>
      </c>
      <c r="BW301" s="197" t="s">
        <v>5791</v>
      </c>
      <c r="BX301" s="197" t="s">
        <v>5791</v>
      </c>
      <c r="BY301" s="197" t="s">
        <v>5791</v>
      </c>
      <c r="BZ301" s="212" t="s">
        <v>5791</v>
      </c>
      <c r="CA301" s="197" t="s">
        <v>5791</v>
      </c>
      <c r="CB301" s="197" t="s">
        <v>5791</v>
      </c>
      <c r="CC301" s="197" t="s">
        <v>5791</v>
      </c>
      <c r="CD301" s="197" t="s">
        <v>5791</v>
      </c>
      <c r="CE301" s="197" t="s">
        <v>5791</v>
      </c>
      <c r="CF301" s="212" t="s">
        <v>5791</v>
      </c>
      <c r="CG301" s="310" t="s">
        <v>6319</v>
      </c>
      <c r="CH301" s="310">
        <v>275</v>
      </c>
      <c r="CI301" s="310">
        <v>351</v>
      </c>
      <c r="CJ301" s="21">
        <v>410</v>
      </c>
      <c r="CK301" s="21">
        <v>525</v>
      </c>
      <c r="CL301" s="68">
        <v>192500</v>
      </c>
      <c r="CM301" s="301" t="s">
        <v>6319</v>
      </c>
      <c r="CN301" s="59">
        <v>275</v>
      </c>
      <c r="CO301" s="21">
        <v>312</v>
      </c>
      <c r="CP301" s="46">
        <v>410</v>
      </c>
      <c r="CQ301" s="21">
        <v>507</v>
      </c>
      <c r="CR301" s="68">
        <v>199500</v>
      </c>
      <c r="CS301" s="310" t="s">
        <v>6319</v>
      </c>
      <c r="CT301" s="21">
        <v>275</v>
      </c>
      <c r="CU301" s="21">
        <v>308</v>
      </c>
      <c r="CV301" s="21">
        <v>410</v>
      </c>
      <c r="CW301" s="21">
        <v>491</v>
      </c>
      <c r="CX301" s="68">
        <v>205000</v>
      </c>
      <c r="CY301" s="201" t="s">
        <v>5791</v>
      </c>
      <c r="CZ301" s="202" t="s">
        <v>5791</v>
      </c>
      <c r="DA301" s="202" t="s">
        <v>5791</v>
      </c>
      <c r="DB301" s="203" t="s">
        <v>5791</v>
      </c>
      <c r="DC301" s="201" t="s">
        <v>5791</v>
      </c>
      <c r="DD301" s="202" t="s">
        <v>5791</v>
      </c>
      <c r="DE301" s="203" t="s">
        <v>5791</v>
      </c>
      <c r="DF301" s="274" t="s">
        <v>5791</v>
      </c>
      <c r="DG301" s="310">
        <v>8.8000000000000007</v>
      </c>
      <c r="DH301" s="310">
        <v>640</v>
      </c>
      <c r="DI301" s="32">
        <v>730</v>
      </c>
      <c r="DJ301" s="310">
        <v>800</v>
      </c>
      <c r="DK301" s="32">
        <v>940</v>
      </c>
      <c r="DL301" s="60">
        <v>200000</v>
      </c>
      <c r="DM301" s="29" t="s">
        <v>4764</v>
      </c>
      <c r="DN301" s="301" t="s">
        <v>4560</v>
      </c>
      <c r="DO301" s="306" t="s">
        <v>4565</v>
      </c>
    </row>
    <row r="302" spans="1:119">
      <c r="A302" s="301">
        <v>297</v>
      </c>
      <c r="B302" s="349"/>
      <c r="C302" s="349"/>
      <c r="D302" s="358"/>
      <c r="E302" s="360"/>
      <c r="F302" s="349"/>
      <c r="G302" s="369"/>
      <c r="H302" s="369"/>
      <c r="I302" s="369"/>
      <c r="J302" s="286" t="s">
        <v>4432</v>
      </c>
      <c r="K302" s="301" t="s">
        <v>4383</v>
      </c>
      <c r="L302" s="310" t="s">
        <v>5791</v>
      </c>
      <c r="M302" s="301" t="s">
        <v>4508</v>
      </c>
      <c r="N302" s="310" t="s">
        <v>4702</v>
      </c>
      <c r="O302" s="18" t="s">
        <v>4506</v>
      </c>
      <c r="P302" s="310" t="s">
        <v>6317</v>
      </c>
      <c r="Q302" s="310" t="s">
        <v>4420</v>
      </c>
      <c r="R302" s="310" t="s">
        <v>4420</v>
      </c>
      <c r="S302" s="310" t="s">
        <v>5791</v>
      </c>
      <c r="T302" s="59" t="s">
        <v>4420</v>
      </c>
      <c r="U302" s="59" t="s">
        <v>5791</v>
      </c>
      <c r="V302" s="59" t="s">
        <v>4420</v>
      </c>
      <c r="W302" s="59" t="s">
        <v>5791</v>
      </c>
      <c r="X302" s="310" t="s">
        <v>4420</v>
      </c>
      <c r="Y302" s="310" t="s">
        <v>5791</v>
      </c>
      <c r="Z302" s="310" t="s">
        <v>4558</v>
      </c>
      <c r="AA302" s="18">
        <v>10</v>
      </c>
      <c r="AB302" s="223">
        <v>0</v>
      </c>
      <c r="AC302" s="18">
        <v>0</v>
      </c>
      <c r="AD302" s="301" t="s">
        <v>6349</v>
      </c>
      <c r="AE302" s="21">
        <f>INDEX('[2]Cross-Section Database'!$C$2:$V$2928,MATCH(AD302,'[2]Cross-Section Database'!$B$2:$B$2928,0),3)</f>
        <v>244</v>
      </c>
      <c r="AF302" s="21">
        <f>INDEX('[2]Cross-Section Database'!$C$2:$V$2928,MATCH(AD302,'[2]Cross-Section Database'!$B$2:$B$2928,0),4)</f>
        <v>252</v>
      </c>
      <c r="AG302" s="21">
        <f>INDEX('[2]Cross-Section Database'!$C$2:$V$2928,MATCH(AD302,'[2]Cross-Section Database'!$B$2:$B$2928,0),6)</f>
        <v>11</v>
      </c>
      <c r="AH302" s="21">
        <f>INDEX('[2]Cross-Section Database'!$C$2:$V$2928,MATCH(AD302,'[2]Cross-Section Database'!$B$2:$B$2928,0),5)</f>
        <v>11</v>
      </c>
      <c r="AI302" s="21">
        <v>3000</v>
      </c>
      <c r="AJ302" s="301" t="s">
        <v>4711</v>
      </c>
      <c r="AK302" s="21">
        <f>INDEX('[2]Cross-Section Database'!$C$2:$V$2928,MATCH(AJ302,'[2]Cross-Section Database'!$B$2:$B$2928,0),3)</f>
        <v>400</v>
      </c>
      <c r="AL302" s="21">
        <f>INDEX('[2]Cross-Section Database'!$C$2:$V$2928,MATCH(AJ302,'[2]Cross-Section Database'!$B$2:$B$2928,0),4)</f>
        <v>200</v>
      </c>
      <c r="AM302" s="21">
        <f>INDEX('[2]Cross-Section Database'!$C$2:$V$2928,MATCH(AJ302,'[2]Cross-Section Database'!$B$2:$B$2928,0),6)</f>
        <v>13</v>
      </c>
      <c r="AN302" s="21">
        <f>INDEX('[2]Cross-Section Database'!$C$2:$V$2928,MATCH(AJ302,'[2]Cross-Section Database'!$B$2:$B$2928,0),5)</f>
        <v>8</v>
      </c>
      <c r="AO302" s="21">
        <v>1300</v>
      </c>
      <c r="AP302" s="21">
        <f>INDEX('[2]Cross-Section Database'!$C$2:$V$3928,MATCH(AJ302,'[2]Cross-Section Database'!$B$2:$B$3928,0),11)</f>
        <v>235000000</v>
      </c>
      <c r="AQ302" s="24">
        <f>INDEX('[2]Cross-Section Database'!$C$2:$V$3928,MATCH(AJ302,'[2]Cross-Section Database'!$B$2:$B$3928,0),12)</f>
        <v>1310000</v>
      </c>
      <c r="AR302" s="21">
        <v>12</v>
      </c>
      <c r="AS302" s="21">
        <v>250</v>
      </c>
      <c r="AT302" s="21">
        <v>500</v>
      </c>
      <c r="AU302" s="21">
        <f t="shared" si="163"/>
        <v>50</v>
      </c>
      <c r="AV302" s="21">
        <f t="shared" si="162"/>
        <v>50</v>
      </c>
      <c r="AW302" s="301" t="s">
        <v>5806</v>
      </c>
      <c r="AX302" s="310" t="s">
        <v>6129</v>
      </c>
      <c r="AY302" s="21" t="s">
        <v>6129</v>
      </c>
      <c r="AZ302" s="310">
        <v>20</v>
      </c>
      <c r="BA302" s="310">
        <f t="shared" si="160"/>
        <v>245</v>
      </c>
      <c r="BB302" s="21">
        <v>110</v>
      </c>
      <c r="BC302" s="21">
        <f t="shared" si="165"/>
        <v>110</v>
      </c>
      <c r="BD302" s="21">
        <v>90</v>
      </c>
      <c r="BE302" s="21">
        <v>90</v>
      </c>
      <c r="BF302" s="21">
        <f t="shared" si="164"/>
        <v>190</v>
      </c>
      <c r="BG302" s="15" t="s">
        <v>6317</v>
      </c>
      <c r="BH302" s="310" t="s">
        <v>4465</v>
      </c>
      <c r="BI302" s="310" t="s">
        <v>6204</v>
      </c>
      <c r="BJ302" s="310">
        <v>4</v>
      </c>
      <c r="BK302" s="310">
        <v>6</v>
      </c>
      <c r="BL302" s="196" t="s">
        <v>5791</v>
      </c>
      <c r="BM302" s="197" t="s">
        <v>5791</v>
      </c>
      <c r="BN302" s="197" t="s">
        <v>5791</v>
      </c>
      <c r="BO302" s="197" t="s">
        <v>5791</v>
      </c>
      <c r="BP302" s="197" t="s">
        <v>5791</v>
      </c>
      <c r="BQ302" s="197" t="s">
        <v>5791</v>
      </c>
      <c r="BR302" s="197" t="s">
        <v>5791</v>
      </c>
      <c r="BS302" s="197" t="s">
        <v>5791</v>
      </c>
      <c r="BT302" s="196" t="s">
        <v>5791</v>
      </c>
      <c r="BU302" s="197" t="s">
        <v>5791</v>
      </c>
      <c r="BV302" s="197" t="s">
        <v>5791</v>
      </c>
      <c r="BW302" s="197" t="s">
        <v>5791</v>
      </c>
      <c r="BX302" s="197" t="s">
        <v>5791</v>
      </c>
      <c r="BY302" s="197" t="s">
        <v>5791</v>
      </c>
      <c r="BZ302" s="212" t="s">
        <v>5791</v>
      </c>
      <c r="CA302" s="197" t="s">
        <v>5791</v>
      </c>
      <c r="CB302" s="197" t="s">
        <v>5791</v>
      </c>
      <c r="CC302" s="197" t="s">
        <v>5791</v>
      </c>
      <c r="CD302" s="197" t="s">
        <v>5791</v>
      </c>
      <c r="CE302" s="197" t="s">
        <v>5791</v>
      </c>
      <c r="CF302" s="212" t="s">
        <v>5791</v>
      </c>
      <c r="CG302" s="310" t="s">
        <v>6319</v>
      </c>
      <c r="CH302" s="310">
        <v>275</v>
      </c>
      <c r="CI302" s="310">
        <v>351</v>
      </c>
      <c r="CJ302" s="21">
        <v>410</v>
      </c>
      <c r="CK302" s="21">
        <v>525</v>
      </c>
      <c r="CL302" s="68">
        <v>192500</v>
      </c>
      <c r="CM302" s="301" t="s">
        <v>6319</v>
      </c>
      <c r="CN302" s="59">
        <v>275</v>
      </c>
      <c r="CO302" s="21">
        <v>312</v>
      </c>
      <c r="CP302" s="46">
        <v>410</v>
      </c>
      <c r="CQ302" s="21">
        <v>507</v>
      </c>
      <c r="CR302" s="68">
        <v>199500</v>
      </c>
      <c r="CS302" s="310" t="s">
        <v>6319</v>
      </c>
      <c r="CT302" s="21">
        <v>275</v>
      </c>
      <c r="CU302" s="21">
        <v>309</v>
      </c>
      <c r="CV302" s="21">
        <v>410</v>
      </c>
      <c r="CW302" s="21">
        <v>470</v>
      </c>
      <c r="CX302" s="68">
        <v>204000</v>
      </c>
      <c r="CY302" s="201" t="s">
        <v>5791</v>
      </c>
      <c r="CZ302" s="202" t="s">
        <v>5791</v>
      </c>
      <c r="DA302" s="202" t="s">
        <v>5791</v>
      </c>
      <c r="DB302" s="203" t="s">
        <v>5791</v>
      </c>
      <c r="DC302" s="201" t="s">
        <v>5791</v>
      </c>
      <c r="DD302" s="202" t="s">
        <v>5791</v>
      </c>
      <c r="DE302" s="203" t="s">
        <v>5791</v>
      </c>
      <c r="DF302" s="274" t="s">
        <v>5791</v>
      </c>
      <c r="DG302" s="310">
        <v>8.8000000000000007</v>
      </c>
      <c r="DH302" s="310">
        <v>640</v>
      </c>
      <c r="DI302" s="32">
        <v>730</v>
      </c>
      <c r="DJ302" s="310">
        <v>800</v>
      </c>
      <c r="DK302" s="32">
        <v>940</v>
      </c>
      <c r="DL302" s="60">
        <v>200000</v>
      </c>
      <c r="DM302" s="29" t="s">
        <v>4764</v>
      </c>
      <c r="DN302" s="310" t="s">
        <v>4560</v>
      </c>
      <c r="DO302" s="306" t="s">
        <v>4565</v>
      </c>
    </row>
    <row r="303" spans="1:119">
      <c r="A303" s="301">
        <v>298</v>
      </c>
      <c r="B303" s="349"/>
      <c r="C303" s="349"/>
      <c r="D303" s="358"/>
      <c r="E303" s="360"/>
      <c r="F303" s="349"/>
      <c r="G303" s="369"/>
      <c r="H303" s="369"/>
      <c r="I303" s="369"/>
      <c r="J303" s="286" t="s">
        <v>4433</v>
      </c>
      <c r="K303" s="301" t="s">
        <v>4383</v>
      </c>
      <c r="L303" s="310" t="s">
        <v>5791</v>
      </c>
      <c r="M303" s="301" t="s">
        <v>4508</v>
      </c>
      <c r="N303" s="310" t="s">
        <v>4702</v>
      </c>
      <c r="O303" s="18" t="s">
        <v>4506</v>
      </c>
      <c r="P303" s="310" t="s">
        <v>6317</v>
      </c>
      <c r="Q303" s="310" t="s">
        <v>4420</v>
      </c>
      <c r="R303" s="310" t="s">
        <v>4420</v>
      </c>
      <c r="S303" s="310" t="s">
        <v>5791</v>
      </c>
      <c r="T303" s="59" t="s">
        <v>4420</v>
      </c>
      <c r="U303" s="59" t="s">
        <v>5791</v>
      </c>
      <c r="V303" s="59" t="s">
        <v>4420</v>
      </c>
      <c r="W303" s="59" t="s">
        <v>5791</v>
      </c>
      <c r="X303" s="310" t="s">
        <v>4420</v>
      </c>
      <c r="Y303" s="310" t="s">
        <v>5791</v>
      </c>
      <c r="Z303" s="310" t="s">
        <v>4558</v>
      </c>
      <c r="AA303" s="18">
        <v>10</v>
      </c>
      <c r="AB303" s="223">
        <v>0</v>
      </c>
      <c r="AC303" s="18">
        <v>0</v>
      </c>
      <c r="AD303" s="301" t="s">
        <v>6351</v>
      </c>
      <c r="AE303" s="21">
        <f>INDEX('[2]Cross-Section Database'!$C$2:$V$2928,MATCH(AD303,'[2]Cross-Section Database'!$B$2:$B$2928,0),3)</f>
        <v>294</v>
      </c>
      <c r="AF303" s="21">
        <f>INDEX('[2]Cross-Section Database'!$C$2:$V$2928,MATCH(AD303,'[2]Cross-Section Database'!$B$2:$B$2928,0),4)</f>
        <v>302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1" t="s">
        <v>6352</v>
      </c>
      <c r="AK303" s="21">
        <f>INDEX('[2]Cross-Section Database'!$C$2:$V$2928,MATCH(AJ303,'[2]Cross-Section Database'!$B$2:$B$2928,0),3)</f>
        <v>506</v>
      </c>
      <c r="AL303" s="21">
        <f>INDEX('[2]Cross-Section Database'!$C$2:$V$2928,MATCH(AJ303,'[2]Cross-Section Database'!$B$2:$B$2928,0),4)</f>
        <v>201</v>
      </c>
      <c r="AM303" s="21">
        <f>INDEX('[2]Cross-Section Database'!$C$2:$V$2928,MATCH(AJ303,'[2]Cross-Section Database'!$B$2:$B$2928,0),6)</f>
        <v>19</v>
      </c>
      <c r="AN303" s="21">
        <f>INDEX('[2]Cross-Section Database'!$C$2:$V$2928,MATCH(AJ303,'[2]Cross-Section Database'!$B$2:$B$2928,0),5)</f>
        <v>11</v>
      </c>
      <c r="AO303" s="21">
        <v>1300</v>
      </c>
      <c r="AP303" s="21">
        <f>INDEX('[2]Cross-Section Database'!$C$2:$V$3928,MATCH(AJ303,'[2]Cross-Section Database'!$B$2:$B$3928,0),11)</f>
        <v>555000000</v>
      </c>
      <c r="AQ303" s="24">
        <f>INDEX('[2]Cross-Section Database'!$C$2:$V$3928,MATCH(AJ303,'[2]Cross-Section Database'!$B$2:$B$3928,0),12)</f>
        <v>2500000</v>
      </c>
      <c r="AR303" s="21">
        <v>15</v>
      </c>
      <c r="AS303" s="21">
        <v>200</v>
      </c>
      <c r="AT303" s="21">
        <v>600</v>
      </c>
      <c r="AU303" s="21">
        <f t="shared" si="163"/>
        <v>47</v>
      </c>
      <c r="AV303" s="21">
        <f t="shared" si="162"/>
        <v>47</v>
      </c>
      <c r="AW303" s="301" t="s">
        <v>5806</v>
      </c>
      <c r="AX303" s="310" t="s">
        <v>6129</v>
      </c>
      <c r="AY303" s="21" t="s">
        <v>6129</v>
      </c>
      <c r="AZ303" s="310">
        <v>24</v>
      </c>
      <c r="BA303" s="310">
        <f t="shared" si="160"/>
        <v>353</v>
      </c>
      <c r="BB303" s="21">
        <v>106.5</v>
      </c>
      <c r="BC303" s="21">
        <f t="shared" si="165"/>
        <v>106.5</v>
      </c>
      <c r="BD303" s="21">
        <v>90</v>
      </c>
      <c r="BE303" s="21">
        <v>90</v>
      </c>
      <c r="BF303" s="21">
        <f t="shared" si="164"/>
        <v>297</v>
      </c>
      <c r="BG303" s="15" t="s">
        <v>6317</v>
      </c>
      <c r="BH303" s="310" t="s">
        <v>4465</v>
      </c>
      <c r="BI303" s="310" t="s">
        <v>4465</v>
      </c>
      <c r="BJ303" s="310">
        <v>4</v>
      </c>
      <c r="BK303" s="310">
        <v>8</v>
      </c>
      <c r="BL303" s="196" t="s">
        <v>5791</v>
      </c>
      <c r="BM303" s="197" t="s">
        <v>5791</v>
      </c>
      <c r="BN303" s="197" t="s">
        <v>5791</v>
      </c>
      <c r="BO303" s="197" t="s">
        <v>5791</v>
      </c>
      <c r="BP303" s="197" t="s">
        <v>5791</v>
      </c>
      <c r="BQ303" s="197" t="s">
        <v>5791</v>
      </c>
      <c r="BR303" s="197" t="s">
        <v>5791</v>
      </c>
      <c r="BS303" s="197" t="s">
        <v>5791</v>
      </c>
      <c r="BT303" s="196" t="s">
        <v>5791</v>
      </c>
      <c r="BU303" s="197" t="s">
        <v>5791</v>
      </c>
      <c r="BV303" s="197" t="s">
        <v>5791</v>
      </c>
      <c r="BW303" s="197" t="s">
        <v>5791</v>
      </c>
      <c r="BX303" s="197" t="s">
        <v>5791</v>
      </c>
      <c r="BY303" s="197" t="s">
        <v>5791</v>
      </c>
      <c r="BZ303" s="212" t="s">
        <v>5791</v>
      </c>
      <c r="CA303" s="197" t="s">
        <v>5791</v>
      </c>
      <c r="CB303" s="197" t="s">
        <v>5791</v>
      </c>
      <c r="CC303" s="197" t="s">
        <v>5791</v>
      </c>
      <c r="CD303" s="197" t="s">
        <v>5791</v>
      </c>
      <c r="CE303" s="197" t="s">
        <v>5791</v>
      </c>
      <c r="CF303" s="212" t="s">
        <v>5791</v>
      </c>
      <c r="CG303" s="310" t="s">
        <v>6319</v>
      </c>
      <c r="CH303" s="21">
        <v>275</v>
      </c>
      <c r="CI303" s="21">
        <v>364.5</v>
      </c>
      <c r="CJ303" s="21">
        <v>410</v>
      </c>
      <c r="CK303" s="21">
        <v>513</v>
      </c>
      <c r="CL303" s="68">
        <v>198000</v>
      </c>
      <c r="CM303" s="301" t="s">
        <v>6319</v>
      </c>
      <c r="CN303" s="59">
        <v>275</v>
      </c>
      <c r="CO303" s="21">
        <v>357</v>
      </c>
      <c r="CP303" s="46">
        <v>410</v>
      </c>
      <c r="CQ303" s="21">
        <v>485</v>
      </c>
      <c r="CR303" s="68">
        <v>194000</v>
      </c>
      <c r="CS303" s="310" t="s">
        <v>6319</v>
      </c>
      <c r="CT303" s="21">
        <v>275</v>
      </c>
      <c r="CU303" s="21">
        <v>311</v>
      </c>
      <c r="CV303" s="21">
        <v>410</v>
      </c>
      <c r="CW303" s="21">
        <v>524</v>
      </c>
      <c r="CX303" s="68">
        <v>205000</v>
      </c>
      <c r="CY303" s="201" t="s">
        <v>5791</v>
      </c>
      <c r="CZ303" s="202" t="s">
        <v>5791</v>
      </c>
      <c r="DA303" s="202" t="s">
        <v>5791</v>
      </c>
      <c r="DB303" s="203" t="s">
        <v>5791</v>
      </c>
      <c r="DC303" s="201" t="s">
        <v>5791</v>
      </c>
      <c r="DD303" s="202" t="s">
        <v>5791</v>
      </c>
      <c r="DE303" s="203" t="s">
        <v>5791</v>
      </c>
      <c r="DF303" s="274" t="s">
        <v>5791</v>
      </c>
      <c r="DG303" s="310">
        <v>8.8000000000000007</v>
      </c>
      <c r="DH303" s="310">
        <v>640</v>
      </c>
      <c r="DI303" s="32">
        <v>730</v>
      </c>
      <c r="DJ303" s="310">
        <v>800</v>
      </c>
      <c r="DK303" s="32">
        <v>940</v>
      </c>
      <c r="DL303" s="60">
        <v>200000</v>
      </c>
      <c r="DM303" s="29" t="s">
        <v>4764</v>
      </c>
      <c r="DN303" s="301" t="s">
        <v>4560</v>
      </c>
      <c r="DO303" s="306" t="s">
        <v>4565</v>
      </c>
    </row>
    <row r="304" spans="1:119" ht="15.6" customHeight="1" thickBot="1">
      <c r="A304" s="301">
        <v>299</v>
      </c>
      <c r="B304" s="350"/>
      <c r="C304" s="350"/>
      <c r="D304" s="371"/>
      <c r="E304" s="372"/>
      <c r="F304" s="350"/>
      <c r="G304" s="370"/>
      <c r="H304" s="370"/>
      <c r="I304" s="370"/>
      <c r="J304" s="286" t="s">
        <v>4434</v>
      </c>
      <c r="K304" s="301" t="s">
        <v>4383</v>
      </c>
      <c r="L304" s="310" t="s">
        <v>5791</v>
      </c>
      <c r="M304" s="301" t="s">
        <v>4508</v>
      </c>
      <c r="N304" s="310" t="s">
        <v>4702</v>
      </c>
      <c r="O304" s="18" t="s">
        <v>4506</v>
      </c>
      <c r="P304" s="310" t="s">
        <v>6317</v>
      </c>
      <c r="Q304" s="310" t="s">
        <v>4420</v>
      </c>
      <c r="R304" s="310" t="s">
        <v>4420</v>
      </c>
      <c r="S304" s="310" t="s">
        <v>5791</v>
      </c>
      <c r="T304" s="59" t="s">
        <v>4420</v>
      </c>
      <c r="U304" s="59" t="s">
        <v>5791</v>
      </c>
      <c r="V304" s="59" t="s">
        <v>4420</v>
      </c>
      <c r="W304" s="59" t="s">
        <v>5791</v>
      </c>
      <c r="X304" s="310" t="s">
        <v>4420</v>
      </c>
      <c r="Y304" s="310" t="s">
        <v>5791</v>
      </c>
      <c r="Z304" s="310" t="s">
        <v>4558</v>
      </c>
      <c r="AA304" s="18">
        <v>10</v>
      </c>
      <c r="AB304" s="223">
        <v>0</v>
      </c>
      <c r="AC304" s="18">
        <v>0</v>
      </c>
      <c r="AD304" s="301" t="s">
        <v>6351</v>
      </c>
      <c r="AE304" s="21">
        <f>INDEX('[2]Cross-Section Database'!$C$2:$V$2928,MATCH(AD304,'[2]Cross-Section Database'!$B$2:$B$2928,0),3)</f>
        <v>294</v>
      </c>
      <c r="AF304" s="21">
        <f>INDEX('[2]Cross-Section Database'!$C$2:$V$2928,MATCH(AD304,'[2]Cross-Section Database'!$B$2:$B$2928,0),4)</f>
        <v>302</v>
      </c>
      <c r="AG304" s="21">
        <f>INDEX('[2]Cross-Section Database'!$C$2:$V$2928,MATCH(AD304,'[2]Cross-Section Database'!$B$2:$B$2928,0),6)</f>
        <v>12</v>
      </c>
      <c r="AH304" s="21">
        <f>INDEX('[2]Cross-Section Database'!$C$2:$V$2928,MATCH(AD304,'[2]Cross-Section Database'!$B$2:$B$2928,0),5)</f>
        <v>12</v>
      </c>
      <c r="AI304" s="21">
        <v>3000</v>
      </c>
      <c r="AJ304" s="301" t="s">
        <v>6352</v>
      </c>
      <c r="AK304" s="21">
        <f>INDEX('[2]Cross-Section Database'!$C$2:$V$2928,MATCH(AJ304,'[2]Cross-Section Database'!$B$2:$B$2928,0),3)</f>
        <v>506</v>
      </c>
      <c r="AL304" s="21">
        <f>INDEX('[2]Cross-Section Database'!$C$2:$V$2928,MATCH(AJ304,'[2]Cross-Section Database'!$B$2:$B$2928,0),4)</f>
        <v>201</v>
      </c>
      <c r="AM304" s="21">
        <f>INDEX('[2]Cross-Section Database'!$C$2:$V$2928,MATCH(AJ304,'[2]Cross-Section Database'!$B$2:$B$2928,0),6)</f>
        <v>19</v>
      </c>
      <c r="AN304" s="21">
        <f>INDEX('[2]Cross-Section Database'!$C$2:$V$2928,MATCH(AJ304,'[2]Cross-Section Database'!$B$2:$B$2928,0),5)</f>
        <v>11</v>
      </c>
      <c r="AO304" s="21">
        <v>1300</v>
      </c>
      <c r="AP304" s="21">
        <f>INDEX('[2]Cross-Section Database'!$C$2:$V$3928,MATCH(AJ304,'[2]Cross-Section Database'!$B$2:$B$3928,0),11)</f>
        <v>555000000</v>
      </c>
      <c r="AQ304" s="24">
        <f>INDEX('[2]Cross-Section Database'!$C$2:$V$3928,MATCH(AJ304,'[2]Cross-Section Database'!$B$2:$B$3928,0),12)</f>
        <v>2500000</v>
      </c>
      <c r="AR304" s="21">
        <v>15</v>
      </c>
      <c r="AS304" s="21">
        <v>250</v>
      </c>
      <c r="AT304" s="21">
        <v>600</v>
      </c>
      <c r="AU304" s="21">
        <f t="shared" si="163"/>
        <v>47</v>
      </c>
      <c r="AV304" s="21">
        <f t="shared" si="162"/>
        <v>47</v>
      </c>
      <c r="AW304" s="301" t="s">
        <v>5806</v>
      </c>
      <c r="AX304" s="310" t="s">
        <v>6129</v>
      </c>
      <c r="AY304" s="21" t="s">
        <v>6129</v>
      </c>
      <c r="AZ304" s="310">
        <v>24</v>
      </c>
      <c r="BA304" s="310">
        <f t="shared" si="160"/>
        <v>353</v>
      </c>
      <c r="BB304" s="21">
        <v>106.5</v>
      </c>
      <c r="BC304" s="21">
        <f t="shared" si="165"/>
        <v>106.5</v>
      </c>
      <c r="BD304" s="21">
        <v>90</v>
      </c>
      <c r="BE304" s="21">
        <v>90</v>
      </c>
      <c r="BF304" s="21">
        <f t="shared" si="164"/>
        <v>297</v>
      </c>
      <c r="BG304" s="15" t="s">
        <v>6317</v>
      </c>
      <c r="BH304" s="310" t="s">
        <v>4465</v>
      </c>
      <c r="BI304" s="310" t="s">
        <v>6204</v>
      </c>
      <c r="BJ304" s="310">
        <v>4</v>
      </c>
      <c r="BK304" s="310">
        <v>6</v>
      </c>
      <c r="BL304" s="196" t="s">
        <v>5791</v>
      </c>
      <c r="BM304" s="197" t="s">
        <v>5791</v>
      </c>
      <c r="BN304" s="197" t="s">
        <v>5791</v>
      </c>
      <c r="BO304" s="197" t="s">
        <v>5791</v>
      </c>
      <c r="BP304" s="197" t="s">
        <v>5791</v>
      </c>
      <c r="BQ304" s="197" t="s">
        <v>5791</v>
      </c>
      <c r="BR304" s="197" t="s">
        <v>5791</v>
      </c>
      <c r="BS304" s="197" t="s">
        <v>5791</v>
      </c>
      <c r="BT304" s="196" t="s">
        <v>5791</v>
      </c>
      <c r="BU304" s="197" t="s">
        <v>5791</v>
      </c>
      <c r="BV304" s="197" t="s">
        <v>5791</v>
      </c>
      <c r="BW304" s="197" t="s">
        <v>5791</v>
      </c>
      <c r="BX304" s="197" t="s">
        <v>5791</v>
      </c>
      <c r="BY304" s="197" t="s">
        <v>5791</v>
      </c>
      <c r="BZ304" s="212" t="s">
        <v>5791</v>
      </c>
      <c r="CA304" s="197" t="s">
        <v>5791</v>
      </c>
      <c r="CB304" s="197" t="s">
        <v>5791</v>
      </c>
      <c r="CC304" s="197" t="s">
        <v>5791</v>
      </c>
      <c r="CD304" s="197" t="s">
        <v>5791</v>
      </c>
      <c r="CE304" s="197" t="s">
        <v>5791</v>
      </c>
      <c r="CF304" s="212" t="s">
        <v>5791</v>
      </c>
      <c r="CG304" s="310" t="s">
        <v>6319</v>
      </c>
      <c r="CH304" s="21">
        <v>275</v>
      </c>
      <c r="CI304" s="21">
        <v>364.5</v>
      </c>
      <c r="CJ304" s="21">
        <v>410</v>
      </c>
      <c r="CK304" s="21">
        <v>513</v>
      </c>
      <c r="CL304" s="68">
        <v>198000</v>
      </c>
      <c r="CM304" s="301" t="s">
        <v>6319</v>
      </c>
      <c r="CN304" s="59">
        <v>275</v>
      </c>
      <c r="CO304" s="21">
        <v>357</v>
      </c>
      <c r="CP304" s="46">
        <v>410</v>
      </c>
      <c r="CQ304" s="21">
        <v>485</v>
      </c>
      <c r="CR304" s="68">
        <v>194000</v>
      </c>
      <c r="CS304" s="310" t="s">
        <v>6319</v>
      </c>
      <c r="CT304" s="21">
        <v>275</v>
      </c>
      <c r="CU304" s="21">
        <v>308</v>
      </c>
      <c r="CV304" s="21">
        <v>410</v>
      </c>
      <c r="CW304" s="21">
        <v>507</v>
      </c>
      <c r="CX304" s="68">
        <v>203000</v>
      </c>
      <c r="CY304" s="201" t="s">
        <v>5791</v>
      </c>
      <c r="CZ304" s="202" t="s">
        <v>5791</v>
      </c>
      <c r="DA304" s="202" t="s">
        <v>5791</v>
      </c>
      <c r="DB304" s="203" t="s">
        <v>5791</v>
      </c>
      <c r="DC304" s="201" t="s">
        <v>5791</v>
      </c>
      <c r="DD304" s="202" t="s">
        <v>5791</v>
      </c>
      <c r="DE304" s="203" t="s">
        <v>5791</v>
      </c>
      <c r="DF304" s="274" t="s">
        <v>5791</v>
      </c>
      <c r="DG304" s="311">
        <v>8.8000000000000007</v>
      </c>
      <c r="DH304" s="311">
        <v>640</v>
      </c>
      <c r="DI304" s="34">
        <v>730</v>
      </c>
      <c r="DJ304" s="311">
        <v>800</v>
      </c>
      <c r="DK304" s="34">
        <v>940</v>
      </c>
      <c r="DL304" s="76">
        <v>200000</v>
      </c>
      <c r="DM304" s="27" t="s">
        <v>4764</v>
      </c>
      <c r="DN304" s="308" t="s">
        <v>4560</v>
      </c>
      <c r="DO304" s="306" t="s">
        <v>4565</v>
      </c>
    </row>
    <row r="305" spans="1:119" ht="15.6" customHeight="1">
      <c r="A305" s="300">
        <v>300</v>
      </c>
      <c r="B305" s="348">
        <v>44</v>
      </c>
      <c r="C305" s="348">
        <v>2011</v>
      </c>
      <c r="D305" s="458" t="s">
        <v>4680</v>
      </c>
      <c r="E305" s="373" t="s">
        <v>6282</v>
      </c>
      <c r="F305" s="348">
        <v>5</v>
      </c>
      <c r="G305" s="368" t="s">
        <v>5934</v>
      </c>
      <c r="H305" s="368" t="s">
        <v>5933</v>
      </c>
      <c r="I305" s="368" t="s">
        <v>6283</v>
      </c>
      <c r="J305" s="284" t="s">
        <v>4429</v>
      </c>
      <c r="K305" s="300" t="s">
        <v>4383</v>
      </c>
      <c r="L305" s="309" t="s">
        <v>5791</v>
      </c>
      <c r="M305" s="300" t="s">
        <v>4508</v>
      </c>
      <c r="N305" s="309" t="s">
        <v>4702</v>
      </c>
      <c r="O305" s="17" t="s">
        <v>4505</v>
      </c>
      <c r="P305" s="309" t="s">
        <v>6317</v>
      </c>
      <c r="Q305" s="309" t="s">
        <v>4420</v>
      </c>
      <c r="R305" s="309" t="s">
        <v>4420</v>
      </c>
      <c r="S305" s="309" t="s">
        <v>5791</v>
      </c>
      <c r="T305" s="64" t="s">
        <v>4420</v>
      </c>
      <c r="U305" s="64" t="s">
        <v>5791</v>
      </c>
      <c r="V305" s="64" t="s">
        <v>4420</v>
      </c>
      <c r="W305" s="64" t="s">
        <v>5791</v>
      </c>
      <c r="X305" s="309" t="s">
        <v>4420</v>
      </c>
      <c r="Y305" s="309" t="s">
        <v>5791</v>
      </c>
      <c r="Z305" s="309" t="s">
        <v>4558</v>
      </c>
      <c r="AA305" s="17">
        <v>10</v>
      </c>
      <c r="AB305" s="232">
        <v>0</v>
      </c>
      <c r="AC305" s="17">
        <v>0</v>
      </c>
      <c r="AD305" s="300" t="s">
        <v>5122</v>
      </c>
      <c r="AE305" s="16">
        <f>INDEX('[2]Cross-Section Database'!$C$2:$V$2928,MATCH(AD305,'[2]Cross-Section Database'!$B$2:$B$2928,0),3)</f>
        <v>338</v>
      </c>
      <c r="AF305" s="16">
        <f>INDEX('[2]Cross-Section Database'!$C$2:$V$2928,MATCH(AD305,'[2]Cross-Section Database'!$B$2:$B$2928,0),4)</f>
        <v>351</v>
      </c>
      <c r="AG305" s="16">
        <f>INDEX('[2]Cross-Section Database'!$C$2:$V$2928,MATCH(AD305,'[2]Cross-Section Database'!$B$2:$B$2928,0),6)</f>
        <v>13</v>
      </c>
      <c r="AH305" s="16">
        <f>INDEX('[2]Cross-Section Database'!$C$2:$V$2928,MATCH(AD305,'[2]Cross-Section Database'!$B$2:$B$2928,0),5)</f>
        <v>13</v>
      </c>
      <c r="AI305" s="26">
        <v>3000</v>
      </c>
      <c r="AJ305" s="300" t="s">
        <v>4711</v>
      </c>
      <c r="AK305" s="16">
        <f>INDEX('[2]Cross-Section Database'!$C$2:$V$2928,MATCH(AJ305,'[2]Cross-Section Database'!$B$2:$B$2928,0),3)</f>
        <v>400</v>
      </c>
      <c r="AL305" s="16">
        <f>INDEX('[2]Cross-Section Database'!$C$2:$V$2928,MATCH(AJ305,'[2]Cross-Section Database'!$B$2:$B$2928,0),4)</f>
        <v>200</v>
      </c>
      <c r="AM305" s="16">
        <f>INDEX('[2]Cross-Section Database'!$C$2:$V$2928,MATCH(AJ305,'[2]Cross-Section Database'!$B$2:$B$2928,0),6)</f>
        <v>13</v>
      </c>
      <c r="AN305" s="16">
        <f>INDEX('[2]Cross-Section Database'!$C$2:$V$2928,MATCH(AJ305,'[2]Cross-Section Database'!$B$2:$B$2928,0),5)</f>
        <v>8</v>
      </c>
      <c r="AO305" s="16">
        <v>1300</v>
      </c>
      <c r="AP305" s="16">
        <f>INDEX('[2]Cross-Section Database'!$C$2:$V$3928,MATCH(AJ305,'[2]Cross-Section Database'!$B$2:$B$3928,0),11)</f>
        <v>235000000</v>
      </c>
      <c r="AQ305" s="26">
        <f>INDEX('[2]Cross-Section Database'!$C$2:$V$3928,MATCH(AJ305,'[2]Cross-Section Database'!$B$2:$B$3928,0),12)</f>
        <v>1310000</v>
      </c>
      <c r="AR305" s="16">
        <v>12</v>
      </c>
      <c r="AS305" s="16">
        <v>200</v>
      </c>
      <c r="AT305" s="16">
        <f>AK305+50</f>
        <v>450</v>
      </c>
      <c r="AU305" s="16">
        <v>25</v>
      </c>
      <c r="AV305" s="16">
        <v>25</v>
      </c>
      <c r="AW305" s="300" t="s">
        <v>5806</v>
      </c>
      <c r="AX305" s="309" t="s">
        <v>6129</v>
      </c>
      <c r="AY305" s="309" t="s">
        <v>6129</v>
      </c>
      <c r="AZ305" s="309">
        <v>20</v>
      </c>
      <c r="BA305" s="309">
        <f t="shared" si="160"/>
        <v>245</v>
      </c>
      <c r="BB305" s="16">
        <v>85</v>
      </c>
      <c r="BC305" s="16">
        <v>85</v>
      </c>
      <c r="BD305" s="16">
        <v>0</v>
      </c>
      <c r="BE305" s="16">
        <v>90</v>
      </c>
      <c r="BF305" s="16">
        <f t="shared" si="164"/>
        <v>280</v>
      </c>
      <c r="BG305" s="22" t="s">
        <v>4470</v>
      </c>
      <c r="BH305" s="309" t="s">
        <v>6204</v>
      </c>
      <c r="BI305" s="309" t="s">
        <v>6204</v>
      </c>
      <c r="BJ305" s="309">
        <v>2</v>
      </c>
      <c r="BK305" s="309">
        <v>4</v>
      </c>
      <c r="BL305" s="194" t="s">
        <v>5791</v>
      </c>
      <c r="BM305" s="195" t="s">
        <v>5791</v>
      </c>
      <c r="BN305" s="195" t="s">
        <v>5791</v>
      </c>
      <c r="BO305" s="195" t="s">
        <v>5791</v>
      </c>
      <c r="BP305" s="195" t="s">
        <v>5791</v>
      </c>
      <c r="BQ305" s="195" t="s">
        <v>5791</v>
      </c>
      <c r="BR305" s="195" t="s">
        <v>5791</v>
      </c>
      <c r="BS305" s="195" t="s">
        <v>5791</v>
      </c>
      <c r="BT305" s="194" t="s">
        <v>5791</v>
      </c>
      <c r="BU305" s="195" t="s">
        <v>5791</v>
      </c>
      <c r="BV305" s="195" t="s">
        <v>5791</v>
      </c>
      <c r="BW305" s="195" t="s">
        <v>5791</v>
      </c>
      <c r="BX305" s="195" t="s">
        <v>5791</v>
      </c>
      <c r="BY305" s="195" t="s">
        <v>5791</v>
      </c>
      <c r="BZ305" s="213" t="s">
        <v>5791</v>
      </c>
      <c r="CA305" s="195" t="s">
        <v>5791</v>
      </c>
      <c r="CB305" s="195" t="s">
        <v>5791</v>
      </c>
      <c r="CC305" s="195" t="s">
        <v>5791</v>
      </c>
      <c r="CD305" s="195" t="s">
        <v>5791</v>
      </c>
      <c r="CE305" s="195" t="s">
        <v>5791</v>
      </c>
      <c r="CF305" s="213" t="s">
        <v>5791</v>
      </c>
      <c r="CG305" s="309" t="s">
        <v>6319</v>
      </c>
      <c r="CH305" s="309">
        <v>275</v>
      </c>
      <c r="CI305" s="16">
        <v>356</v>
      </c>
      <c r="CJ305" s="16">
        <v>410</v>
      </c>
      <c r="CK305" s="16">
        <v>488</v>
      </c>
      <c r="CL305" s="80">
        <v>200000</v>
      </c>
      <c r="CM305" s="309" t="s">
        <v>6319</v>
      </c>
      <c r="CN305" s="309">
        <v>275</v>
      </c>
      <c r="CO305" s="16">
        <v>351</v>
      </c>
      <c r="CP305" s="16">
        <v>410</v>
      </c>
      <c r="CQ305" s="16">
        <v>495</v>
      </c>
      <c r="CR305" s="80">
        <v>212000</v>
      </c>
      <c r="CS305" s="300" t="s">
        <v>6319</v>
      </c>
      <c r="CT305" s="16">
        <v>275</v>
      </c>
      <c r="CU305" s="16">
        <v>307.3</v>
      </c>
      <c r="CV305" s="16">
        <v>410</v>
      </c>
      <c r="CW305" s="16">
        <v>476</v>
      </c>
      <c r="CX305" s="80">
        <v>204000</v>
      </c>
      <c r="CY305" s="198" t="s">
        <v>5791</v>
      </c>
      <c r="CZ305" s="199" t="s">
        <v>5791</v>
      </c>
      <c r="DA305" s="199" t="s">
        <v>5791</v>
      </c>
      <c r="DB305" s="200" t="s">
        <v>5791</v>
      </c>
      <c r="DC305" s="198" t="s">
        <v>5791</v>
      </c>
      <c r="DD305" s="199" t="s">
        <v>5791</v>
      </c>
      <c r="DE305" s="200" t="s">
        <v>5791</v>
      </c>
      <c r="DF305" s="273" t="s">
        <v>5791</v>
      </c>
      <c r="DG305" s="309">
        <v>8.8000000000000007</v>
      </c>
      <c r="DH305" s="309">
        <v>640</v>
      </c>
      <c r="DI305" s="30">
        <v>730</v>
      </c>
      <c r="DJ305" s="309">
        <v>800</v>
      </c>
      <c r="DK305" s="30">
        <v>940</v>
      </c>
      <c r="DL305" s="75">
        <v>200000</v>
      </c>
      <c r="DM305" s="29" t="s">
        <v>4767</v>
      </c>
      <c r="DN305" s="309" t="s">
        <v>4435</v>
      </c>
      <c r="DO305" s="305" t="s">
        <v>4565</v>
      </c>
    </row>
    <row r="306" spans="1:119">
      <c r="A306" s="301">
        <v>301</v>
      </c>
      <c r="B306" s="349"/>
      <c r="C306" s="349"/>
      <c r="D306" s="459"/>
      <c r="E306" s="374"/>
      <c r="F306" s="349"/>
      <c r="G306" s="369"/>
      <c r="H306" s="369"/>
      <c r="I306" s="369"/>
      <c r="J306" s="286" t="s">
        <v>4430</v>
      </c>
      <c r="K306" s="301" t="s">
        <v>4383</v>
      </c>
      <c r="L306" s="310" t="s">
        <v>5791</v>
      </c>
      <c r="M306" s="301" t="s">
        <v>4508</v>
      </c>
      <c r="N306" s="310" t="s">
        <v>4702</v>
      </c>
      <c r="O306" s="18" t="s">
        <v>4505</v>
      </c>
      <c r="P306" s="310" t="s">
        <v>6317</v>
      </c>
      <c r="Q306" s="310" t="s">
        <v>4420</v>
      </c>
      <c r="R306" s="310" t="s">
        <v>4420</v>
      </c>
      <c r="S306" s="310" t="s">
        <v>5791</v>
      </c>
      <c r="T306" s="59" t="s">
        <v>4420</v>
      </c>
      <c r="U306" s="59" t="s">
        <v>5791</v>
      </c>
      <c r="V306" s="59" t="s">
        <v>4420</v>
      </c>
      <c r="W306" s="59" t="s">
        <v>5791</v>
      </c>
      <c r="X306" s="310" t="s">
        <v>4420</v>
      </c>
      <c r="Y306" s="310" t="s">
        <v>5791</v>
      </c>
      <c r="Z306" s="310" t="s">
        <v>4558</v>
      </c>
      <c r="AA306" s="18">
        <v>10</v>
      </c>
      <c r="AB306" s="223">
        <v>0</v>
      </c>
      <c r="AC306" s="18">
        <v>0</v>
      </c>
      <c r="AD306" s="301" t="s">
        <v>5108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4">
        <v>3000</v>
      </c>
      <c r="AJ306" s="301" t="s">
        <v>4711</v>
      </c>
      <c r="AK306" s="21">
        <f>INDEX('[2]Cross-Section Database'!$C$2:$V$2928,MATCH(AJ306,'[2]Cross-Section Database'!$B$2:$B$2928,0),3)</f>
        <v>400</v>
      </c>
      <c r="AL306" s="21">
        <f>INDEX('[2]Cross-Section Database'!$C$2:$V$2928,MATCH(AJ306,'[2]Cross-Section Database'!$B$2:$B$2928,0),4)</f>
        <v>200</v>
      </c>
      <c r="AM306" s="21">
        <f>INDEX('[2]Cross-Section Database'!$C$2:$V$2928,MATCH(AJ306,'[2]Cross-Section Database'!$B$2:$B$2928,0),6)</f>
        <v>13</v>
      </c>
      <c r="AN306" s="21">
        <f>INDEX('[2]Cross-Section Database'!$C$2:$V$2928,MATCH(AJ306,'[2]Cross-Section Database'!$B$2:$B$2928,0),5)</f>
        <v>8</v>
      </c>
      <c r="AO306" s="21">
        <v>1300</v>
      </c>
      <c r="AP306" s="21">
        <f>INDEX('[2]Cross-Section Database'!$C$2:$V$3928,MATCH(AJ306,'[2]Cross-Section Database'!$B$2:$B$3928,0),11)</f>
        <v>235000000</v>
      </c>
      <c r="AQ306" s="24">
        <f>INDEX('[2]Cross-Section Database'!$C$2:$V$3928,MATCH(AJ306,'[2]Cross-Section Database'!$B$2:$B$3928,0),12)</f>
        <v>1310000</v>
      </c>
      <c r="AR306" s="21">
        <v>12</v>
      </c>
      <c r="AS306" s="21">
        <v>200</v>
      </c>
      <c r="AT306" s="21">
        <f t="shared" ref="AT306:AT309" si="166">AK306+50</f>
        <v>450</v>
      </c>
      <c r="AU306" s="21">
        <v>25</v>
      </c>
      <c r="AV306" s="21">
        <v>25</v>
      </c>
      <c r="AW306" s="301" t="s">
        <v>5806</v>
      </c>
      <c r="AX306" s="310" t="s">
        <v>6129</v>
      </c>
      <c r="AY306" s="310" t="s">
        <v>6129</v>
      </c>
      <c r="AZ306" s="310">
        <v>20</v>
      </c>
      <c r="BA306" s="310">
        <f t="shared" si="160"/>
        <v>245</v>
      </c>
      <c r="BB306" s="21">
        <v>85</v>
      </c>
      <c r="BC306" s="21">
        <v>85</v>
      </c>
      <c r="BD306" s="21">
        <v>0</v>
      </c>
      <c r="BE306" s="21">
        <v>90</v>
      </c>
      <c r="BF306" s="21">
        <f t="shared" si="164"/>
        <v>280</v>
      </c>
      <c r="BG306" s="15" t="s">
        <v>4470</v>
      </c>
      <c r="BH306" s="310" t="s">
        <v>6204</v>
      </c>
      <c r="BI306" s="310" t="s">
        <v>6204</v>
      </c>
      <c r="BJ306" s="310">
        <v>2</v>
      </c>
      <c r="BK306" s="310">
        <v>4</v>
      </c>
      <c r="BL306" s="196" t="s">
        <v>5791</v>
      </c>
      <c r="BM306" s="197" t="s">
        <v>5791</v>
      </c>
      <c r="BN306" s="197" t="s">
        <v>5791</v>
      </c>
      <c r="BO306" s="197" t="s">
        <v>5791</v>
      </c>
      <c r="BP306" s="197" t="s">
        <v>5791</v>
      </c>
      <c r="BQ306" s="197" t="s">
        <v>5791</v>
      </c>
      <c r="BR306" s="197" t="s">
        <v>5791</v>
      </c>
      <c r="BS306" s="197" t="s">
        <v>5791</v>
      </c>
      <c r="BT306" s="196" t="s">
        <v>5791</v>
      </c>
      <c r="BU306" s="197" t="s">
        <v>5791</v>
      </c>
      <c r="BV306" s="197" t="s">
        <v>5791</v>
      </c>
      <c r="BW306" s="197" t="s">
        <v>5791</v>
      </c>
      <c r="BX306" s="197" t="s">
        <v>5791</v>
      </c>
      <c r="BY306" s="197" t="s">
        <v>5791</v>
      </c>
      <c r="BZ306" s="212" t="s">
        <v>5791</v>
      </c>
      <c r="CA306" s="197" t="s">
        <v>5791</v>
      </c>
      <c r="CB306" s="197" t="s">
        <v>5791</v>
      </c>
      <c r="CC306" s="197" t="s">
        <v>5791</v>
      </c>
      <c r="CD306" s="197" t="s">
        <v>5791</v>
      </c>
      <c r="CE306" s="197" t="s">
        <v>5791</v>
      </c>
      <c r="CF306" s="212" t="s">
        <v>5791</v>
      </c>
      <c r="CG306" s="310" t="s">
        <v>6319</v>
      </c>
      <c r="CH306" s="310">
        <v>275</v>
      </c>
      <c r="CI306" s="21">
        <v>364.5</v>
      </c>
      <c r="CJ306" s="21">
        <v>410</v>
      </c>
      <c r="CK306" s="21">
        <v>516</v>
      </c>
      <c r="CL306" s="68">
        <v>198000</v>
      </c>
      <c r="CM306" s="310" t="s">
        <v>6319</v>
      </c>
      <c r="CN306" s="310">
        <v>275</v>
      </c>
      <c r="CO306" s="21">
        <v>351</v>
      </c>
      <c r="CP306" s="21">
        <v>410</v>
      </c>
      <c r="CQ306" s="21">
        <v>495</v>
      </c>
      <c r="CR306" s="68">
        <v>212000</v>
      </c>
      <c r="CS306" s="301" t="s">
        <v>6319</v>
      </c>
      <c r="CT306" s="21">
        <v>275</v>
      </c>
      <c r="CU306" s="21">
        <v>307.3</v>
      </c>
      <c r="CV306" s="21">
        <v>410</v>
      </c>
      <c r="CW306" s="21">
        <v>476</v>
      </c>
      <c r="CX306" s="68">
        <v>204000</v>
      </c>
      <c r="CY306" s="201" t="s">
        <v>5791</v>
      </c>
      <c r="CZ306" s="202" t="s">
        <v>5791</v>
      </c>
      <c r="DA306" s="202" t="s">
        <v>5791</v>
      </c>
      <c r="DB306" s="203" t="s">
        <v>5791</v>
      </c>
      <c r="DC306" s="201" t="s">
        <v>5791</v>
      </c>
      <c r="DD306" s="202" t="s">
        <v>5791</v>
      </c>
      <c r="DE306" s="203" t="s">
        <v>5791</v>
      </c>
      <c r="DF306" s="274" t="s">
        <v>5791</v>
      </c>
      <c r="DG306" s="310">
        <v>8.8000000000000007</v>
      </c>
      <c r="DH306" s="310">
        <v>640</v>
      </c>
      <c r="DI306" s="32">
        <v>730</v>
      </c>
      <c r="DJ306" s="310">
        <v>800</v>
      </c>
      <c r="DK306" s="32">
        <v>940</v>
      </c>
      <c r="DL306" s="60">
        <v>200000</v>
      </c>
      <c r="DM306" s="29" t="s">
        <v>4767</v>
      </c>
      <c r="DN306" s="310" t="s">
        <v>4435</v>
      </c>
      <c r="DO306" s="306" t="s">
        <v>4565</v>
      </c>
    </row>
    <row r="307" spans="1:119" ht="15.6" customHeight="1">
      <c r="A307" s="301">
        <v>302</v>
      </c>
      <c r="B307" s="349"/>
      <c r="C307" s="349"/>
      <c r="D307" s="459"/>
      <c r="E307" s="374"/>
      <c r="F307" s="349"/>
      <c r="G307" s="369"/>
      <c r="H307" s="369"/>
      <c r="I307" s="369"/>
      <c r="J307" s="286" t="s">
        <v>4431</v>
      </c>
      <c r="K307" s="301" t="s">
        <v>4383</v>
      </c>
      <c r="L307" s="310" t="s">
        <v>5791</v>
      </c>
      <c r="M307" s="301" t="s">
        <v>4508</v>
      </c>
      <c r="N307" s="310" t="s">
        <v>4702</v>
      </c>
      <c r="O307" s="18" t="s">
        <v>4505</v>
      </c>
      <c r="P307" s="310" t="s">
        <v>4420</v>
      </c>
      <c r="Q307" s="310" t="s">
        <v>4420</v>
      </c>
      <c r="R307" s="310" t="s">
        <v>4420</v>
      </c>
      <c r="S307" s="310" t="s">
        <v>5791</v>
      </c>
      <c r="T307" s="59" t="s">
        <v>4420</v>
      </c>
      <c r="U307" s="59" t="s">
        <v>5791</v>
      </c>
      <c r="V307" s="59" t="s">
        <v>4420</v>
      </c>
      <c r="W307" s="59" t="s">
        <v>5791</v>
      </c>
      <c r="X307" s="310" t="s">
        <v>4420</v>
      </c>
      <c r="Y307" s="310" t="s">
        <v>5791</v>
      </c>
      <c r="Z307" s="310" t="s">
        <v>4558</v>
      </c>
      <c r="AA307" s="18">
        <v>10</v>
      </c>
      <c r="AB307" s="223">
        <v>0</v>
      </c>
      <c r="AC307" s="18">
        <v>0</v>
      </c>
      <c r="AD307" s="301" t="s">
        <v>5108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4">
        <v>3000</v>
      </c>
      <c r="AJ307" s="301" t="s">
        <v>6284</v>
      </c>
      <c r="AK307" s="21">
        <f>INDEX('[2]Cross-Section Database'!$C$2:$V$2928,MATCH(AJ307,'[2]Cross-Section Database'!$B$2:$B$2928,0),3)</f>
        <v>350</v>
      </c>
      <c r="AL307" s="21">
        <f>INDEX('[2]Cross-Section Database'!$C$2:$V$2928,MATCH(AJ307,'[2]Cross-Section Database'!$B$2:$B$2928,0),4)</f>
        <v>175</v>
      </c>
      <c r="AM307" s="21">
        <f>INDEX('[2]Cross-Section Database'!$C$2:$V$2928,MATCH(AJ307,'[2]Cross-Section Database'!$B$2:$B$2928,0),6)</f>
        <v>11</v>
      </c>
      <c r="AN307" s="21">
        <f>INDEX('[2]Cross-Section Database'!$C$2:$V$2928,MATCH(AJ307,'[2]Cross-Section Database'!$B$2:$B$2928,0),5)</f>
        <v>7</v>
      </c>
      <c r="AO307" s="21">
        <v>1300</v>
      </c>
      <c r="AP307" s="21">
        <f>INDEX('[2]Cross-Section Database'!$C$2:$V$3928,MATCH(AJ307,'[2]Cross-Section Database'!$B$2:$B$3928,0),11)</f>
        <v>135000000</v>
      </c>
      <c r="AQ307" s="24">
        <f>INDEX('[2]Cross-Section Database'!$C$2:$V$3928,MATCH(AJ307,'[2]Cross-Section Database'!$B$2:$B$3928,0),12)</f>
        <v>865000</v>
      </c>
      <c r="AR307" s="21">
        <v>12</v>
      </c>
      <c r="AS307" s="21">
        <v>200</v>
      </c>
      <c r="AT307" s="21">
        <f t="shared" si="166"/>
        <v>400</v>
      </c>
      <c r="AU307" s="21">
        <v>25</v>
      </c>
      <c r="AV307" s="21">
        <v>25</v>
      </c>
      <c r="AW307" s="301" t="s">
        <v>5806</v>
      </c>
      <c r="AX307" s="310" t="s">
        <v>6129</v>
      </c>
      <c r="AY307" s="21" t="s">
        <v>6129</v>
      </c>
      <c r="AZ307" s="310">
        <v>20</v>
      </c>
      <c r="BA307" s="310">
        <f t="shared" si="160"/>
        <v>245</v>
      </c>
      <c r="BB307" s="21">
        <v>85</v>
      </c>
      <c r="BC307" s="21">
        <v>85</v>
      </c>
      <c r="BD307" s="21">
        <v>0</v>
      </c>
      <c r="BE307" s="21">
        <v>90</v>
      </c>
      <c r="BF307" s="21">
        <f t="shared" si="164"/>
        <v>230</v>
      </c>
      <c r="BG307" s="15" t="s">
        <v>4470</v>
      </c>
      <c r="BH307" s="310" t="s">
        <v>6204</v>
      </c>
      <c r="BI307" s="310" t="s">
        <v>6204</v>
      </c>
      <c r="BJ307" s="310">
        <v>2</v>
      </c>
      <c r="BK307" s="310">
        <v>4</v>
      </c>
      <c r="BL307" s="196" t="s">
        <v>5791</v>
      </c>
      <c r="BM307" s="197" t="s">
        <v>5791</v>
      </c>
      <c r="BN307" s="197" t="s">
        <v>5791</v>
      </c>
      <c r="BO307" s="197" t="s">
        <v>5791</v>
      </c>
      <c r="BP307" s="197" t="s">
        <v>5791</v>
      </c>
      <c r="BQ307" s="197" t="s">
        <v>5791</v>
      </c>
      <c r="BR307" s="197" t="s">
        <v>5791</v>
      </c>
      <c r="BS307" s="197" t="s">
        <v>5791</v>
      </c>
      <c r="BT307" s="196" t="s">
        <v>5791</v>
      </c>
      <c r="BU307" s="197" t="s">
        <v>5791</v>
      </c>
      <c r="BV307" s="197" t="s">
        <v>5791</v>
      </c>
      <c r="BW307" s="197" t="s">
        <v>5791</v>
      </c>
      <c r="BX307" s="197" t="s">
        <v>5791</v>
      </c>
      <c r="BY307" s="197" t="s">
        <v>5791</v>
      </c>
      <c r="BZ307" s="212" t="s">
        <v>5791</v>
      </c>
      <c r="CA307" s="197" t="s">
        <v>5791</v>
      </c>
      <c r="CB307" s="197" t="s">
        <v>5791</v>
      </c>
      <c r="CC307" s="197" t="s">
        <v>5791</v>
      </c>
      <c r="CD307" s="197" t="s">
        <v>5791</v>
      </c>
      <c r="CE307" s="197" t="s">
        <v>5791</v>
      </c>
      <c r="CF307" s="212" t="s">
        <v>5791</v>
      </c>
      <c r="CG307" s="310" t="s">
        <v>6319</v>
      </c>
      <c r="CH307" s="310">
        <v>275</v>
      </c>
      <c r="CI307" s="21">
        <v>364.5</v>
      </c>
      <c r="CJ307" s="21">
        <v>410</v>
      </c>
      <c r="CK307" s="21">
        <v>516</v>
      </c>
      <c r="CL307" s="68">
        <v>198000</v>
      </c>
      <c r="CM307" s="310" t="s">
        <v>6319</v>
      </c>
      <c r="CN307" s="310">
        <v>275</v>
      </c>
      <c r="CO307" s="21">
        <v>372</v>
      </c>
      <c r="CP307" s="21">
        <v>410</v>
      </c>
      <c r="CQ307" s="21">
        <v>514</v>
      </c>
      <c r="CR307" s="68">
        <v>201000</v>
      </c>
      <c r="CS307" s="301" t="s">
        <v>6319</v>
      </c>
      <c r="CT307" s="21">
        <v>275</v>
      </c>
      <c r="CU307" s="21">
        <v>307.3</v>
      </c>
      <c r="CV307" s="21">
        <v>410</v>
      </c>
      <c r="CW307" s="21">
        <v>476</v>
      </c>
      <c r="CX307" s="68">
        <v>204000</v>
      </c>
      <c r="CY307" s="201" t="s">
        <v>5791</v>
      </c>
      <c r="CZ307" s="202" t="s">
        <v>5791</v>
      </c>
      <c r="DA307" s="202" t="s">
        <v>5791</v>
      </c>
      <c r="DB307" s="203" t="s">
        <v>5791</v>
      </c>
      <c r="DC307" s="201" t="s">
        <v>5791</v>
      </c>
      <c r="DD307" s="202" t="s">
        <v>5791</v>
      </c>
      <c r="DE307" s="203" t="s">
        <v>5791</v>
      </c>
      <c r="DF307" s="274" t="s">
        <v>5791</v>
      </c>
      <c r="DG307" s="310">
        <v>8.8000000000000007</v>
      </c>
      <c r="DH307" s="310">
        <v>640</v>
      </c>
      <c r="DI307" s="32">
        <v>730</v>
      </c>
      <c r="DJ307" s="310">
        <v>800</v>
      </c>
      <c r="DK307" s="32">
        <v>940</v>
      </c>
      <c r="DL307" s="60">
        <v>200000</v>
      </c>
      <c r="DM307" s="29" t="s">
        <v>4767</v>
      </c>
      <c r="DN307" s="310" t="s">
        <v>4435</v>
      </c>
      <c r="DO307" s="306" t="s">
        <v>4565</v>
      </c>
    </row>
    <row r="308" spans="1:119" ht="15.6" customHeight="1">
      <c r="A308" s="301">
        <v>303</v>
      </c>
      <c r="B308" s="349"/>
      <c r="C308" s="349"/>
      <c r="D308" s="459"/>
      <c r="E308" s="374"/>
      <c r="F308" s="349"/>
      <c r="G308" s="369"/>
      <c r="H308" s="369"/>
      <c r="I308" s="369"/>
      <c r="J308" s="286" t="s">
        <v>4432</v>
      </c>
      <c r="K308" s="301" t="s">
        <v>4383</v>
      </c>
      <c r="L308" s="310" t="s">
        <v>5791</v>
      </c>
      <c r="M308" s="301" t="s">
        <v>4508</v>
      </c>
      <c r="N308" s="310" t="s">
        <v>4702</v>
      </c>
      <c r="O308" s="18" t="s">
        <v>4505</v>
      </c>
      <c r="P308" s="310" t="s">
        <v>6317</v>
      </c>
      <c r="Q308" s="310" t="s">
        <v>4420</v>
      </c>
      <c r="R308" s="310" t="s">
        <v>4420</v>
      </c>
      <c r="S308" s="310" t="s">
        <v>5791</v>
      </c>
      <c r="T308" s="59" t="s">
        <v>4420</v>
      </c>
      <c r="U308" s="59" t="s">
        <v>5791</v>
      </c>
      <c r="V308" s="59" t="s">
        <v>4420</v>
      </c>
      <c r="W308" s="59" t="s">
        <v>5791</v>
      </c>
      <c r="X308" s="310" t="s">
        <v>4420</v>
      </c>
      <c r="Y308" s="310" t="s">
        <v>5791</v>
      </c>
      <c r="Z308" s="310" t="s">
        <v>4558</v>
      </c>
      <c r="AA308" s="18">
        <v>10</v>
      </c>
      <c r="AB308" s="223">
        <v>0</v>
      </c>
      <c r="AC308" s="18">
        <v>0</v>
      </c>
      <c r="AD308" s="301" t="s">
        <v>5108</v>
      </c>
      <c r="AE308" s="21">
        <f>INDEX('[2]Cross-Section Database'!$C$2:$V$2928,MATCH(AD308,'[2]Cross-Section Database'!$B$2:$B$2928,0),3)</f>
        <v>294</v>
      </c>
      <c r="AF308" s="21">
        <f>INDEX('[2]Cross-Section Database'!$C$2:$V$2928,MATCH(AD308,'[2]Cross-Section Database'!$B$2:$B$2928,0),4)</f>
        <v>302</v>
      </c>
      <c r="AG308" s="21">
        <f>INDEX('[2]Cross-Section Database'!$C$2:$V$2928,MATCH(AD308,'[2]Cross-Section Database'!$B$2:$B$2928,0),6)</f>
        <v>12</v>
      </c>
      <c r="AH308" s="21">
        <f>INDEX('[2]Cross-Section Database'!$C$2:$V$2928,MATCH(AD308,'[2]Cross-Section Database'!$B$2:$B$2928,0),5)</f>
        <v>12</v>
      </c>
      <c r="AI308" s="24">
        <v>3000</v>
      </c>
      <c r="AJ308" s="301" t="s">
        <v>5144</v>
      </c>
      <c r="AK308" s="21">
        <f>INDEX('[2]Cross-Section Database'!$C$2:$V$2928,MATCH(AJ308,'[2]Cross-Section Database'!$B$2:$B$2928,0),3)</f>
        <v>450</v>
      </c>
      <c r="AL308" s="21">
        <f>INDEX('[2]Cross-Section Database'!$C$2:$V$2928,MATCH(AJ308,'[2]Cross-Section Database'!$B$2:$B$2928,0),4)</f>
        <v>200</v>
      </c>
      <c r="AM308" s="21">
        <f>INDEX('[2]Cross-Section Database'!$C$2:$V$2928,MATCH(AJ308,'[2]Cross-Section Database'!$B$2:$B$2928,0),6)</f>
        <v>14</v>
      </c>
      <c r="AN308" s="21">
        <f>INDEX('[2]Cross-Section Database'!$C$2:$V$2928,MATCH(AJ308,'[2]Cross-Section Database'!$B$2:$B$2928,0),5)</f>
        <v>9</v>
      </c>
      <c r="AO308" s="21">
        <v>1300</v>
      </c>
      <c r="AP308" s="21">
        <f>INDEX('[2]Cross-Section Database'!$C$2:$V$3928,MATCH(AJ308,'[2]Cross-Section Database'!$B$2:$B$3928,0),11)</f>
        <v>329000000</v>
      </c>
      <c r="AQ308" s="24">
        <f>INDEX('[2]Cross-Section Database'!$C$2:$V$3928,MATCH(AJ308,'[2]Cross-Section Database'!$B$2:$B$3928,0),12)</f>
        <v>1650000</v>
      </c>
      <c r="AR308" s="21">
        <v>12</v>
      </c>
      <c r="AS308" s="21">
        <v>200</v>
      </c>
      <c r="AT308" s="21">
        <f t="shared" si="166"/>
        <v>500</v>
      </c>
      <c r="AU308" s="21">
        <v>25</v>
      </c>
      <c r="AV308" s="21">
        <v>25</v>
      </c>
      <c r="AW308" s="301" t="s">
        <v>5806</v>
      </c>
      <c r="AX308" s="310" t="s">
        <v>6129</v>
      </c>
      <c r="AY308" s="21" t="s">
        <v>6129</v>
      </c>
      <c r="AZ308" s="310">
        <v>20</v>
      </c>
      <c r="BA308" s="310">
        <f t="shared" si="160"/>
        <v>245</v>
      </c>
      <c r="BB308" s="21">
        <v>85</v>
      </c>
      <c r="BC308" s="21">
        <v>85</v>
      </c>
      <c r="BD308" s="21">
        <v>0</v>
      </c>
      <c r="BE308" s="21">
        <v>90</v>
      </c>
      <c r="BF308" s="21">
        <f t="shared" si="164"/>
        <v>330</v>
      </c>
      <c r="BG308" s="15" t="s">
        <v>4470</v>
      </c>
      <c r="BH308" s="310" t="s">
        <v>6204</v>
      </c>
      <c r="BI308" s="310" t="s">
        <v>6204</v>
      </c>
      <c r="BJ308" s="310">
        <v>2</v>
      </c>
      <c r="BK308" s="310">
        <v>4</v>
      </c>
      <c r="BL308" s="196" t="s">
        <v>5791</v>
      </c>
      <c r="BM308" s="197" t="s">
        <v>5791</v>
      </c>
      <c r="BN308" s="197" t="s">
        <v>5791</v>
      </c>
      <c r="BO308" s="197" t="s">
        <v>5791</v>
      </c>
      <c r="BP308" s="197" t="s">
        <v>5791</v>
      </c>
      <c r="BQ308" s="197" t="s">
        <v>5791</v>
      </c>
      <c r="BR308" s="197" t="s">
        <v>5791</v>
      </c>
      <c r="BS308" s="197" t="s">
        <v>5791</v>
      </c>
      <c r="BT308" s="196" t="s">
        <v>5791</v>
      </c>
      <c r="BU308" s="197" t="s">
        <v>5791</v>
      </c>
      <c r="BV308" s="197" t="s">
        <v>5791</v>
      </c>
      <c r="BW308" s="197" t="s">
        <v>5791</v>
      </c>
      <c r="BX308" s="197" t="s">
        <v>5791</v>
      </c>
      <c r="BY308" s="197" t="s">
        <v>5791</v>
      </c>
      <c r="BZ308" s="212" t="s">
        <v>5791</v>
      </c>
      <c r="CA308" s="197" t="s">
        <v>5791</v>
      </c>
      <c r="CB308" s="197" t="s">
        <v>5791</v>
      </c>
      <c r="CC308" s="197" t="s">
        <v>5791</v>
      </c>
      <c r="CD308" s="197" t="s">
        <v>5791</v>
      </c>
      <c r="CE308" s="197" t="s">
        <v>5791</v>
      </c>
      <c r="CF308" s="212" t="s">
        <v>5791</v>
      </c>
      <c r="CG308" s="310" t="s">
        <v>6319</v>
      </c>
      <c r="CH308" s="310">
        <v>275</v>
      </c>
      <c r="CI308" s="21">
        <v>364.5</v>
      </c>
      <c r="CJ308" s="21">
        <v>410</v>
      </c>
      <c r="CK308" s="21">
        <v>516</v>
      </c>
      <c r="CL308" s="68">
        <v>198000</v>
      </c>
      <c r="CM308" s="310" t="s">
        <v>6319</v>
      </c>
      <c r="CN308" s="310">
        <v>275</v>
      </c>
      <c r="CO308" s="21">
        <v>378</v>
      </c>
      <c r="CP308" s="21">
        <v>410</v>
      </c>
      <c r="CQ308" s="21">
        <v>487</v>
      </c>
      <c r="CR308" s="68">
        <v>214000</v>
      </c>
      <c r="CS308" s="301" t="s">
        <v>6319</v>
      </c>
      <c r="CT308" s="21">
        <v>275</v>
      </c>
      <c r="CU308" s="21">
        <v>307.3</v>
      </c>
      <c r="CV308" s="21">
        <v>410</v>
      </c>
      <c r="CW308" s="21">
        <v>476</v>
      </c>
      <c r="CX308" s="68">
        <v>204000</v>
      </c>
      <c r="CY308" s="201" t="s">
        <v>5791</v>
      </c>
      <c r="CZ308" s="202" t="s">
        <v>5791</v>
      </c>
      <c r="DA308" s="202" t="s">
        <v>5791</v>
      </c>
      <c r="DB308" s="203" t="s">
        <v>5791</v>
      </c>
      <c r="DC308" s="201" t="s">
        <v>5791</v>
      </c>
      <c r="DD308" s="202" t="s">
        <v>5791</v>
      </c>
      <c r="DE308" s="203" t="s">
        <v>5791</v>
      </c>
      <c r="DF308" s="274" t="s">
        <v>5791</v>
      </c>
      <c r="DG308" s="310">
        <v>8.8000000000000007</v>
      </c>
      <c r="DH308" s="310">
        <v>640</v>
      </c>
      <c r="DI308" s="32">
        <v>730</v>
      </c>
      <c r="DJ308" s="310">
        <v>800</v>
      </c>
      <c r="DK308" s="32">
        <v>940</v>
      </c>
      <c r="DL308" s="60">
        <v>200000</v>
      </c>
      <c r="DM308" s="29" t="s">
        <v>4767</v>
      </c>
      <c r="DN308" s="310" t="s">
        <v>4435</v>
      </c>
      <c r="DO308" s="306" t="s">
        <v>4565</v>
      </c>
    </row>
    <row r="309" spans="1:119" ht="15.6" customHeight="1" thickBot="1">
      <c r="A309" s="308">
        <v>304</v>
      </c>
      <c r="B309" s="350"/>
      <c r="C309" s="350"/>
      <c r="D309" s="460"/>
      <c r="E309" s="375"/>
      <c r="F309" s="350"/>
      <c r="G309" s="370"/>
      <c r="H309" s="370"/>
      <c r="I309" s="370"/>
      <c r="J309" s="285" t="s">
        <v>6285</v>
      </c>
      <c r="K309" s="308" t="s">
        <v>4383</v>
      </c>
      <c r="L309" s="311" t="s">
        <v>5791</v>
      </c>
      <c r="M309" s="308" t="s">
        <v>4508</v>
      </c>
      <c r="N309" s="311" t="s">
        <v>4702</v>
      </c>
      <c r="O309" s="14" t="s">
        <v>4505</v>
      </c>
      <c r="P309" s="311" t="s">
        <v>6317</v>
      </c>
      <c r="Q309" s="311" t="s">
        <v>4420</v>
      </c>
      <c r="R309" s="311" t="s">
        <v>4420</v>
      </c>
      <c r="S309" s="311" t="s">
        <v>5791</v>
      </c>
      <c r="T309" s="86" t="s">
        <v>4420</v>
      </c>
      <c r="U309" s="86" t="s">
        <v>5791</v>
      </c>
      <c r="V309" s="86" t="s">
        <v>4420</v>
      </c>
      <c r="W309" s="86" t="s">
        <v>5791</v>
      </c>
      <c r="X309" s="311" t="s">
        <v>4420</v>
      </c>
      <c r="Y309" s="311" t="s">
        <v>5791</v>
      </c>
      <c r="Z309" s="311" t="s">
        <v>4558</v>
      </c>
      <c r="AA309" s="14">
        <v>10</v>
      </c>
      <c r="AB309" s="228">
        <v>0</v>
      </c>
      <c r="AC309" s="14">
        <v>0</v>
      </c>
      <c r="AD309" s="308" t="s">
        <v>5122</v>
      </c>
      <c r="AE309" s="23">
        <f>INDEX('[2]Cross-Section Database'!$C$2:$V$2928,MATCH(AD309,'[2]Cross-Section Database'!$B$2:$B$2928,0),3)</f>
        <v>338</v>
      </c>
      <c r="AF309" s="23">
        <f>INDEX('[2]Cross-Section Database'!$C$2:$V$2928,MATCH(AD309,'[2]Cross-Section Database'!$B$2:$B$2928,0),4)</f>
        <v>351</v>
      </c>
      <c r="AG309" s="23">
        <f>INDEX('[2]Cross-Section Database'!$C$2:$V$2928,MATCH(AD309,'[2]Cross-Section Database'!$B$2:$B$2928,0),6)</f>
        <v>13</v>
      </c>
      <c r="AH309" s="23">
        <f>INDEX('[2]Cross-Section Database'!$C$2:$V$2928,MATCH(AD309,'[2]Cross-Section Database'!$B$2:$B$2928,0),5)</f>
        <v>13</v>
      </c>
      <c r="AI309" s="25">
        <v>3000</v>
      </c>
      <c r="AJ309" s="308" t="s">
        <v>5156</v>
      </c>
      <c r="AK309" s="23">
        <f>INDEX('[2]Cross-Section Database'!$C$2:$V$2928,MATCH(AJ309,'[2]Cross-Section Database'!$B$2:$B$2928,0),3)</f>
        <v>506</v>
      </c>
      <c r="AL309" s="23">
        <f>INDEX('[2]Cross-Section Database'!$C$2:$V$2928,MATCH(AJ309,'[2]Cross-Section Database'!$B$2:$B$2928,0),4)</f>
        <v>201</v>
      </c>
      <c r="AM309" s="23">
        <f>INDEX('[2]Cross-Section Database'!$C$2:$V$2928,MATCH(AJ309,'[2]Cross-Section Database'!$B$2:$B$2928,0),6)</f>
        <v>19</v>
      </c>
      <c r="AN309" s="23">
        <f>INDEX('[2]Cross-Section Database'!$C$2:$V$2928,MATCH(AJ309,'[2]Cross-Section Database'!$B$2:$B$2928,0),5)</f>
        <v>11</v>
      </c>
      <c r="AO309" s="23">
        <v>1300</v>
      </c>
      <c r="AP309" s="23">
        <f>INDEX('[2]Cross-Section Database'!$C$2:$V$3928,MATCH(AJ309,'[2]Cross-Section Database'!$B$2:$B$3928,0),11)</f>
        <v>555000000</v>
      </c>
      <c r="AQ309" s="25">
        <f>INDEX('[2]Cross-Section Database'!$C$2:$V$3928,MATCH(AJ309,'[2]Cross-Section Database'!$B$2:$B$3928,0),12)</f>
        <v>2500000</v>
      </c>
      <c r="AR309" s="23">
        <v>12</v>
      </c>
      <c r="AS309" s="23">
        <v>200</v>
      </c>
      <c r="AT309" s="23">
        <f t="shared" si="166"/>
        <v>556</v>
      </c>
      <c r="AU309" s="23">
        <v>25</v>
      </c>
      <c r="AV309" s="23">
        <v>25</v>
      </c>
      <c r="AW309" s="308" t="s">
        <v>5806</v>
      </c>
      <c r="AX309" s="311" t="s">
        <v>6129</v>
      </c>
      <c r="AY309" s="23" t="s">
        <v>6129</v>
      </c>
      <c r="AZ309" s="311">
        <v>20</v>
      </c>
      <c r="BA309" s="311">
        <f t="shared" si="160"/>
        <v>245</v>
      </c>
      <c r="BB309" s="23">
        <v>85</v>
      </c>
      <c r="BC309" s="23">
        <v>85</v>
      </c>
      <c r="BD309" s="23">
        <v>0</v>
      </c>
      <c r="BE309" s="23">
        <v>90</v>
      </c>
      <c r="BF309" s="23">
        <f t="shared" si="164"/>
        <v>386</v>
      </c>
      <c r="BG309" s="19" t="s">
        <v>4470</v>
      </c>
      <c r="BH309" s="311" t="s">
        <v>6204</v>
      </c>
      <c r="BI309" s="311" t="s">
        <v>6204</v>
      </c>
      <c r="BJ309" s="311">
        <v>2</v>
      </c>
      <c r="BK309" s="311">
        <v>4</v>
      </c>
      <c r="BL309" s="191" t="s">
        <v>5791</v>
      </c>
      <c r="BM309" s="192" t="s">
        <v>5791</v>
      </c>
      <c r="BN309" s="192" t="s">
        <v>5791</v>
      </c>
      <c r="BO309" s="192" t="s">
        <v>5791</v>
      </c>
      <c r="BP309" s="192" t="s">
        <v>5791</v>
      </c>
      <c r="BQ309" s="192" t="s">
        <v>5791</v>
      </c>
      <c r="BR309" s="192" t="s">
        <v>5791</v>
      </c>
      <c r="BS309" s="192" t="s">
        <v>5791</v>
      </c>
      <c r="BT309" s="191" t="s">
        <v>5791</v>
      </c>
      <c r="BU309" s="192" t="s">
        <v>5791</v>
      </c>
      <c r="BV309" s="192" t="s">
        <v>5791</v>
      </c>
      <c r="BW309" s="192" t="s">
        <v>5791</v>
      </c>
      <c r="BX309" s="192" t="s">
        <v>5791</v>
      </c>
      <c r="BY309" s="192" t="s">
        <v>5791</v>
      </c>
      <c r="BZ309" s="214" t="s">
        <v>5791</v>
      </c>
      <c r="CA309" s="192" t="s">
        <v>5791</v>
      </c>
      <c r="CB309" s="192" t="s">
        <v>5791</v>
      </c>
      <c r="CC309" s="192" t="s">
        <v>5791</v>
      </c>
      <c r="CD309" s="192" t="s">
        <v>5791</v>
      </c>
      <c r="CE309" s="192" t="s">
        <v>5791</v>
      </c>
      <c r="CF309" s="214" t="s">
        <v>5791</v>
      </c>
      <c r="CG309" s="311" t="s">
        <v>6319</v>
      </c>
      <c r="CH309" s="23">
        <v>275</v>
      </c>
      <c r="CI309" s="23">
        <v>359</v>
      </c>
      <c r="CJ309" s="23">
        <v>410</v>
      </c>
      <c r="CK309" s="23">
        <v>488</v>
      </c>
      <c r="CL309" s="82">
        <v>200000</v>
      </c>
      <c r="CM309" s="311" t="s">
        <v>6319</v>
      </c>
      <c r="CN309" s="23">
        <v>275</v>
      </c>
      <c r="CO309" s="23">
        <v>331</v>
      </c>
      <c r="CP309" s="23">
        <v>410</v>
      </c>
      <c r="CQ309" s="23">
        <v>485</v>
      </c>
      <c r="CR309" s="82">
        <v>204000</v>
      </c>
      <c r="CS309" s="308" t="s">
        <v>6319</v>
      </c>
      <c r="CT309" s="23">
        <v>275</v>
      </c>
      <c r="CU309" s="23">
        <v>307.3</v>
      </c>
      <c r="CV309" s="23">
        <v>410</v>
      </c>
      <c r="CW309" s="23">
        <v>476</v>
      </c>
      <c r="CX309" s="82">
        <v>204000</v>
      </c>
      <c r="CY309" s="204" t="s">
        <v>5791</v>
      </c>
      <c r="CZ309" s="205" t="s">
        <v>5791</v>
      </c>
      <c r="DA309" s="205" t="s">
        <v>5791</v>
      </c>
      <c r="DB309" s="206" t="s">
        <v>5791</v>
      </c>
      <c r="DC309" s="204" t="s">
        <v>5791</v>
      </c>
      <c r="DD309" s="205" t="s">
        <v>5791</v>
      </c>
      <c r="DE309" s="206" t="s">
        <v>5791</v>
      </c>
      <c r="DF309" s="275" t="s">
        <v>5791</v>
      </c>
      <c r="DG309" s="310">
        <v>8.8000000000000007</v>
      </c>
      <c r="DH309" s="310">
        <v>640</v>
      </c>
      <c r="DI309" s="32">
        <v>730</v>
      </c>
      <c r="DJ309" s="310">
        <v>800</v>
      </c>
      <c r="DK309" s="32">
        <v>940</v>
      </c>
      <c r="DL309" s="60">
        <v>200000</v>
      </c>
      <c r="DM309" s="29" t="s">
        <v>4767</v>
      </c>
      <c r="DN309" s="310" t="s">
        <v>4435</v>
      </c>
      <c r="DO309" s="307" t="s">
        <v>4565</v>
      </c>
    </row>
    <row r="310" spans="1:119" ht="15.6" customHeight="1">
      <c r="A310" s="301">
        <v>305</v>
      </c>
      <c r="B310" s="348">
        <v>45</v>
      </c>
      <c r="C310" s="348">
        <v>2011</v>
      </c>
      <c r="D310" s="359" t="s">
        <v>4681</v>
      </c>
      <c r="E310" s="359" t="s">
        <v>4846</v>
      </c>
      <c r="F310" s="348">
        <v>3</v>
      </c>
      <c r="G310" s="348" t="s">
        <v>5927</v>
      </c>
      <c r="H310" s="348" t="s">
        <v>5922</v>
      </c>
      <c r="I310" s="348" t="s">
        <v>6249</v>
      </c>
      <c r="J310" s="286" t="s">
        <v>4687</v>
      </c>
      <c r="K310" s="301" t="s">
        <v>4383</v>
      </c>
      <c r="L310" s="310" t="s">
        <v>5791</v>
      </c>
      <c r="M310" s="301" t="s">
        <v>4507</v>
      </c>
      <c r="N310" s="310" t="s">
        <v>4701</v>
      </c>
      <c r="O310" s="18" t="s">
        <v>4506</v>
      </c>
      <c r="P310" s="310" t="s">
        <v>4420</v>
      </c>
      <c r="Q310" s="310" t="s">
        <v>4470</v>
      </c>
      <c r="R310" s="310" t="s">
        <v>4420</v>
      </c>
      <c r="S310" s="310" t="s">
        <v>5791</v>
      </c>
      <c r="T310" s="59" t="s">
        <v>4420</v>
      </c>
      <c r="U310" s="59" t="s">
        <v>5791</v>
      </c>
      <c r="V310" s="59" t="s">
        <v>4420</v>
      </c>
      <c r="W310" s="59" t="s">
        <v>5791</v>
      </c>
      <c r="X310" s="310" t="s">
        <v>4420</v>
      </c>
      <c r="Y310" s="310" t="s">
        <v>5791</v>
      </c>
      <c r="Z310" s="32" t="s">
        <v>4558</v>
      </c>
      <c r="AA310" s="72">
        <v>10</v>
      </c>
      <c r="AB310" s="223">
        <v>0</v>
      </c>
      <c r="AC310" s="18">
        <v>470</v>
      </c>
      <c r="AD310" s="301" t="s">
        <v>4633</v>
      </c>
      <c r="AE310" s="21">
        <v>300</v>
      </c>
      <c r="AF310" s="21">
        <v>300</v>
      </c>
      <c r="AG310" s="21">
        <v>10</v>
      </c>
      <c r="AH310" s="21">
        <v>10</v>
      </c>
      <c r="AI310" s="21">
        <v>1500</v>
      </c>
      <c r="AJ310" s="301" t="s">
        <v>4632</v>
      </c>
      <c r="AK310" s="21">
        <f>INDEX('[2]Cross-Section Database'!$C$2:$V$2928,MATCH(AJ310,'[2]Cross-Section Database'!$B$2:$B$2928,0),3)</f>
        <v>602</v>
      </c>
      <c r="AL310" s="21">
        <f>INDEX('[2]Cross-Section Database'!$C$2:$V$2928,MATCH(AJ310,'[2]Cross-Section Database'!$B$2:$B$2928,0),4)</f>
        <v>228</v>
      </c>
      <c r="AM310" s="21">
        <f>INDEX('[2]Cross-Section Database'!$C$2:$V$2928,MATCH(AJ310,'[2]Cross-Section Database'!$B$2:$B$2928,0),6)</f>
        <v>14.8</v>
      </c>
      <c r="AN310" s="21">
        <f>INDEX('[2]Cross-Section Database'!$C$2:$V$2928,MATCH(AJ310,'[2]Cross-Section Database'!$B$2:$B$2928,0),5)</f>
        <v>10.6</v>
      </c>
      <c r="AO310" s="21">
        <v>1620</v>
      </c>
      <c r="AP310" s="21">
        <f>INDEX('[2]Cross-Section Database'!$C$2:$V$3928,MATCH(AJ310,'[2]Cross-Section Database'!$B$2:$B$3928,0),11)</f>
        <v>761000000</v>
      </c>
      <c r="AQ310" s="24">
        <f>INDEX('[2]Cross-Section Database'!$C$2:$V$3928,MATCH(AJ310,'[2]Cross-Section Database'!$B$2:$B$3928,0),12)</f>
        <v>2900000</v>
      </c>
      <c r="AR310" s="21">
        <v>12</v>
      </c>
      <c r="AS310" s="21">
        <v>300</v>
      </c>
      <c r="AT310" s="21">
        <v>610</v>
      </c>
      <c r="AU310" s="21">
        <v>4</v>
      </c>
      <c r="AV310" s="21">
        <f t="shared" si="162"/>
        <v>4</v>
      </c>
      <c r="AW310" s="301" t="s">
        <v>5671</v>
      </c>
      <c r="AX310" s="310" t="s">
        <v>6129</v>
      </c>
      <c r="AY310" s="21" t="s">
        <v>6129</v>
      </c>
      <c r="AZ310" s="310">
        <v>20</v>
      </c>
      <c r="BA310" s="310">
        <f t="shared" si="160"/>
        <v>245</v>
      </c>
      <c r="BB310" s="21">
        <v>97</v>
      </c>
      <c r="BC310" s="21">
        <f t="shared" si="165"/>
        <v>97</v>
      </c>
      <c r="BD310" s="21">
        <v>205</v>
      </c>
      <c r="BE310" s="21">
        <v>90</v>
      </c>
      <c r="BF310" s="21">
        <v>0</v>
      </c>
      <c r="BG310" s="15" t="s">
        <v>4470</v>
      </c>
      <c r="BH310" s="310" t="s">
        <v>6204</v>
      </c>
      <c r="BI310" s="310" t="s">
        <v>6204</v>
      </c>
      <c r="BJ310" s="310">
        <v>2</v>
      </c>
      <c r="BK310" s="310">
        <v>6</v>
      </c>
      <c r="BL310" s="196" t="s">
        <v>5791</v>
      </c>
      <c r="BM310" s="197" t="s">
        <v>5791</v>
      </c>
      <c r="BN310" s="197" t="s">
        <v>5791</v>
      </c>
      <c r="BO310" s="197" t="s">
        <v>5791</v>
      </c>
      <c r="BP310" s="197" t="s">
        <v>5791</v>
      </c>
      <c r="BQ310" s="197" t="s">
        <v>5791</v>
      </c>
      <c r="BR310" s="197" t="s">
        <v>5791</v>
      </c>
      <c r="BS310" s="197" t="s">
        <v>5791</v>
      </c>
      <c r="BT310" s="196" t="s">
        <v>5791</v>
      </c>
      <c r="BU310" s="197" t="s">
        <v>5791</v>
      </c>
      <c r="BV310" s="197" t="s">
        <v>5791</v>
      </c>
      <c r="BW310" s="197" t="s">
        <v>5791</v>
      </c>
      <c r="BX310" s="197" t="s">
        <v>5791</v>
      </c>
      <c r="BY310" s="197" t="s">
        <v>5791</v>
      </c>
      <c r="BZ310" s="212" t="s">
        <v>5791</v>
      </c>
      <c r="CA310" s="197" t="s">
        <v>5791</v>
      </c>
      <c r="CB310" s="197" t="s">
        <v>5791</v>
      </c>
      <c r="CC310" s="197" t="s">
        <v>5791</v>
      </c>
      <c r="CD310" s="197" t="s">
        <v>5791</v>
      </c>
      <c r="CE310" s="197" t="s">
        <v>5791</v>
      </c>
      <c r="CF310" s="282" t="s">
        <v>5791</v>
      </c>
      <c r="CG310" s="106" t="s">
        <v>4449</v>
      </c>
      <c r="CH310" s="62">
        <v>235</v>
      </c>
      <c r="CI310" s="33">
        <v>300</v>
      </c>
      <c r="CJ310" s="21">
        <v>360</v>
      </c>
      <c r="CK310" s="33">
        <v>430</v>
      </c>
      <c r="CL310" s="66">
        <v>200000</v>
      </c>
      <c r="CM310" s="106" t="s">
        <v>4449</v>
      </c>
      <c r="CN310" s="59">
        <v>235</v>
      </c>
      <c r="CO310" s="33">
        <v>300</v>
      </c>
      <c r="CP310" s="46">
        <v>360</v>
      </c>
      <c r="CQ310" s="33">
        <v>430</v>
      </c>
      <c r="CR310" s="66">
        <v>200000</v>
      </c>
      <c r="CS310" s="106" t="s">
        <v>4449</v>
      </c>
      <c r="CT310" s="59">
        <v>235</v>
      </c>
      <c r="CU310" s="33">
        <v>300</v>
      </c>
      <c r="CV310" s="46">
        <v>360</v>
      </c>
      <c r="CW310" s="33">
        <v>430</v>
      </c>
      <c r="CX310" s="66">
        <v>200000</v>
      </c>
      <c r="CY310" s="201" t="s">
        <v>5791</v>
      </c>
      <c r="CZ310" s="202" t="s">
        <v>5791</v>
      </c>
      <c r="DA310" s="202" t="s">
        <v>5791</v>
      </c>
      <c r="DB310" s="203" t="s">
        <v>5791</v>
      </c>
      <c r="DC310" s="201" t="s">
        <v>5791</v>
      </c>
      <c r="DD310" s="202" t="s">
        <v>5791</v>
      </c>
      <c r="DE310" s="203" t="s">
        <v>5791</v>
      </c>
      <c r="DF310" s="274" t="s">
        <v>5791</v>
      </c>
      <c r="DG310" s="309">
        <v>8.8000000000000007</v>
      </c>
      <c r="DH310" s="309">
        <v>640</v>
      </c>
      <c r="DI310" s="30">
        <v>750</v>
      </c>
      <c r="DJ310" s="309">
        <v>800</v>
      </c>
      <c r="DK310" s="30">
        <v>940</v>
      </c>
      <c r="DL310" s="75">
        <v>200000</v>
      </c>
      <c r="DM310" s="42" t="s">
        <v>4572</v>
      </c>
      <c r="DN310" s="309" t="s">
        <v>4560</v>
      </c>
      <c r="DO310" s="306" t="s">
        <v>4565</v>
      </c>
    </row>
    <row r="311" spans="1:119">
      <c r="A311" s="301">
        <v>306</v>
      </c>
      <c r="B311" s="349"/>
      <c r="C311" s="349"/>
      <c r="D311" s="360"/>
      <c r="E311" s="360"/>
      <c r="F311" s="349"/>
      <c r="G311" s="349"/>
      <c r="H311" s="349"/>
      <c r="I311" s="349"/>
      <c r="J311" s="286" t="s">
        <v>4688</v>
      </c>
      <c r="K311" s="301" t="s">
        <v>4383</v>
      </c>
      <c r="L311" s="310" t="s">
        <v>6060</v>
      </c>
      <c r="M311" s="301" t="s">
        <v>4507</v>
      </c>
      <c r="N311" s="310" t="s">
        <v>4701</v>
      </c>
      <c r="O311" s="18" t="s">
        <v>4506</v>
      </c>
      <c r="P311" s="310" t="s">
        <v>4470</v>
      </c>
      <c r="Q311" s="310" t="s">
        <v>4470</v>
      </c>
      <c r="R311" s="310" t="s">
        <v>4420</v>
      </c>
      <c r="S311" s="310" t="s">
        <v>5791</v>
      </c>
      <c r="T311" s="59" t="s">
        <v>4420</v>
      </c>
      <c r="U311" s="59" t="s">
        <v>5791</v>
      </c>
      <c r="V311" s="59" t="s">
        <v>4420</v>
      </c>
      <c r="W311" s="59" t="s">
        <v>5791</v>
      </c>
      <c r="X311" s="310" t="s">
        <v>4420</v>
      </c>
      <c r="Y311" s="310" t="s">
        <v>5791</v>
      </c>
      <c r="Z311" s="32" t="s">
        <v>4558</v>
      </c>
      <c r="AA311" s="72">
        <v>10</v>
      </c>
      <c r="AB311" s="223">
        <v>0</v>
      </c>
      <c r="AC311" s="18">
        <v>1980</v>
      </c>
      <c r="AD311" s="301" t="s">
        <v>4633</v>
      </c>
      <c r="AE311" s="21">
        <v>300</v>
      </c>
      <c r="AF311" s="21">
        <v>300</v>
      </c>
      <c r="AG311" s="21">
        <v>10</v>
      </c>
      <c r="AH311" s="21">
        <v>10</v>
      </c>
      <c r="AI311" s="21">
        <v>1500</v>
      </c>
      <c r="AJ311" s="301" t="s">
        <v>4632</v>
      </c>
      <c r="AK311" s="21">
        <f>INDEX('[2]Cross-Section Database'!$C$2:$V$2928,MATCH(AJ311,'[2]Cross-Section Database'!$B$2:$B$2928,0),3)</f>
        <v>602</v>
      </c>
      <c r="AL311" s="21">
        <f>INDEX('[2]Cross-Section Database'!$C$2:$V$2928,MATCH(AJ311,'[2]Cross-Section Database'!$B$2:$B$2928,0),4)</f>
        <v>228</v>
      </c>
      <c r="AM311" s="21">
        <f>INDEX('[2]Cross-Section Database'!$C$2:$V$2928,MATCH(AJ311,'[2]Cross-Section Database'!$B$2:$B$2928,0),6)</f>
        <v>14.8</v>
      </c>
      <c r="AN311" s="21">
        <f>INDEX('[2]Cross-Section Database'!$C$2:$V$2928,MATCH(AJ311,'[2]Cross-Section Database'!$B$2:$B$2928,0),5)</f>
        <v>10.6</v>
      </c>
      <c r="AO311" s="21">
        <v>1620</v>
      </c>
      <c r="AP311" s="21">
        <f>INDEX('[2]Cross-Section Database'!$C$2:$V$3928,MATCH(AJ311,'[2]Cross-Section Database'!$B$2:$B$3928,0),11)</f>
        <v>761000000</v>
      </c>
      <c r="AQ311" s="24">
        <f>INDEX('[2]Cross-Section Database'!$C$2:$V$3928,MATCH(AJ311,'[2]Cross-Section Database'!$B$2:$B$3928,0),12)</f>
        <v>2900000</v>
      </c>
      <c r="AR311" s="21">
        <v>12</v>
      </c>
      <c r="AS311" s="21">
        <v>300</v>
      </c>
      <c r="AT311" s="21">
        <v>610</v>
      </c>
      <c r="AU311" s="21">
        <v>4</v>
      </c>
      <c r="AV311" s="21">
        <f t="shared" si="162"/>
        <v>4</v>
      </c>
      <c r="AW311" s="301" t="s">
        <v>5671</v>
      </c>
      <c r="AX311" s="310" t="s">
        <v>6129</v>
      </c>
      <c r="AY311" s="21" t="s">
        <v>6129</v>
      </c>
      <c r="AZ311" s="310">
        <v>20</v>
      </c>
      <c r="BA311" s="310">
        <f t="shared" si="160"/>
        <v>245</v>
      </c>
      <c r="BB311" s="21">
        <v>97</v>
      </c>
      <c r="BC311" s="21">
        <f t="shared" si="165"/>
        <v>97</v>
      </c>
      <c r="BD311" s="21">
        <v>205</v>
      </c>
      <c r="BE311" s="21">
        <v>90</v>
      </c>
      <c r="BF311" s="21">
        <v>0</v>
      </c>
      <c r="BG311" s="15" t="s">
        <v>4470</v>
      </c>
      <c r="BH311" s="310" t="s">
        <v>6204</v>
      </c>
      <c r="BI311" s="310" t="s">
        <v>6204</v>
      </c>
      <c r="BJ311" s="310">
        <v>2</v>
      </c>
      <c r="BK311" s="310">
        <v>6</v>
      </c>
      <c r="BL311" s="301">
        <v>120</v>
      </c>
      <c r="BM311" s="310">
        <v>2000</v>
      </c>
      <c r="BN311" s="310" t="s">
        <v>6191</v>
      </c>
      <c r="BO311" s="310">
        <v>1</v>
      </c>
      <c r="BP311" s="310">
        <v>300</v>
      </c>
      <c r="BQ311" s="310">
        <v>1620</v>
      </c>
      <c r="BR311" s="310">
        <v>55</v>
      </c>
      <c r="BS311" s="310" t="s">
        <v>4589</v>
      </c>
      <c r="BT311" s="301" t="s">
        <v>5855</v>
      </c>
      <c r="BU311" s="310">
        <v>5</v>
      </c>
      <c r="BV311" s="310">
        <v>1</v>
      </c>
      <c r="BW311" s="310">
        <v>19</v>
      </c>
      <c r="BX311" s="310">
        <v>100</v>
      </c>
      <c r="BY311" s="32">
        <v>200</v>
      </c>
      <c r="BZ311" s="18">
        <v>300</v>
      </c>
      <c r="CA311" s="310" t="s">
        <v>4586</v>
      </c>
      <c r="CB311" s="310" t="s">
        <v>4690</v>
      </c>
      <c r="CC311" s="21">
        <v>0</v>
      </c>
      <c r="CD311" s="21">
        <f>10*PI()*12^2/4</f>
        <v>1130.9733552923256</v>
      </c>
      <c r="CE311" s="32">
        <v>30</v>
      </c>
      <c r="CF311" s="119">
        <v>8.6999999999999994E-3</v>
      </c>
      <c r="CG311" s="106" t="s">
        <v>4449</v>
      </c>
      <c r="CH311" s="62">
        <v>235</v>
      </c>
      <c r="CI311" s="32">
        <v>300</v>
      </c>
      <c r="CJ311" s="21">
        <v>360</v>
      </c>
      <c r="CK311" s="32">
        <v>430</v>
      </c>
      <c r="CL311" s="72">
        <v>200000</v>
      </c>
      <c r="CM311" s="106" t="s">
        <v>4449</v>
      </c>
      <c r="CN311" s="59">
        <v>235</v>
      </c>
      <c r="CO311" s="32">
        <v>300</v>
      </c>
      <c r="CP311" s="59">
        <v>360</v>
      </c>
      <c r="CQ311" s="32">
        <v>430</v>
      </c>
      <c r="CR311" s="72">
        <v>200000</v>
      </c>
      <c r="CS311" s="106" t="s">
        <v>4449</v>
      </c>
      <c r="CT311" s="59">
        <v>235</v>
      </c>
      <c r="CU311" s="32">
        <v>300</v>
      </c>
      <c r="CV311" s="59">
        <v>360</v>
      </c>
      <c r="CW311" s="32">
        <v>430</v>
      </c>
      <c r="CX311" s="60">
        <v>200000</v>
      </c>
      <c r="CY311" s="106" t="s">
        <v>4751</v>
      </c>
      <c r="CZ311" s="63">
        <v>28.74</v>
      </c>
      <c r="DA311" s="63">
        <v>3.74</v>
      </c>
      <c r="DB311" s="68">
        <v>27070</v>
      </c>
      <c r="DC311" s="106">
        <v>540</v>
      </c>
      <c r="DD311" s="32">
        <v>650</v>
      </c>
      <c r="DE311" s="66">
        <v>200000</v>
      </c>
      <c r="DF311" s="295">
        <v>550</v>
      </c>
      <c r="DG311" s="310">
        <v>8.8000000000000007</v>
      </c>
      <c r="DH311" s="310">
        <v>640</v>
      </c>
      <c r="DI311" s="32">
        <v>750</v>
      </c>
      <c r="DJ311" s="310">
        <v>800</v>
      </c>
      <c r="DK311" s="32">
        <v>940</v>
      </c>
      <c r="DL311" s="60">
        <v>200000</v>
      </c>
      <c r="DM311" s="40" t="s">
        <v>5851</v>
      </c>
      <c r="DN311" s="310" t="s">
        <v>4560</v>
      </c>
      <c r="DO311" s="306" t="s">
        <v>4565</v>
      </c>
    </row>
    <row r="312" spans="1:119" ht="16.2" thickBot="1">
      <c r="A312" s="308">
        <v>307</v>
      </c>
      <c r="B312" s="350"/>
      <c r="C312" s="350"/>
      <c r="D312" s="372"/>
      <c r="E312" s="372"/>
      <c r="F312" s="350"/>
      <c r="G312" s="350"/>
      <c r="H312" s="350"/>
      <c r="I312" s="350"/>
      <c r="J312" s="285" t="s">
        <v>4689</v>
      </c>
      <c r="K312" s="308" t="s">
        <v>4534</v>
      </c>
      <c r="L312" s="311" t="s">
        <v>6060</v>
      </c>
      <c r="M312" s="308" t="s">
        <v>4507</v>
      </c>
      <c r="N312" s="311" t="s">
        <v>4701</v>
      </c>
      <c r="O312" s="14" t="s">
        <v>4506</v>
      </c>
      <c r="P312" s="311" t="s">
        <v>4470</v>
      </c>
      <c r="Q312" s="311" t="s">
        <v>4470</v>
      </c>
      <c r="R312" s="311" t="s">
        <v>4420</v>
      </c>
      <c r="S312" s="311" t="s">
        <v>5791</v>
      </c>
      <c r="T312" s="86" t="s">
        <v>4420</v>
      </c>
      <c r="U312" s="86" t="s">
        <v>5791</v>
      </c>
      <c r="V312" s="86" t="s">
        <v>4420</v>
      </c>
      <c r="W312" s="86" t="s">
        <v>5791</v>
      </c>
      <c r="X312" s="311" t="s">
        <v>4420</v>
      </c>
      <c r="Y312" s="311" t="s">
        <v>5791</v>
      </c>
      <c r="Z312" s="34" t="s">
        <v>4558</v>
      </c>
      <c r="AA312" s="117">
        <v>10</v>
      </c>
      <c r="AB312" s="228">
        <v>0</v>
      </c>
      <c r="AC312" s="14">
        <v>1963</v>
      </c>
      <c r="AD312" s="308" t="s">
        <v>4633</v>
      </c>
      <c r="AE312" s="311">
        <v>300</v>
      </c>
      <c r="AF312" s="311">
        <v>300</v>
      </c>
      <c r="AG312" s="23">
        <v>10</v>
      </c>
      <c r="AH312" s="23">
        <v>10</v>
      </c>
      <c r="AI312" s="23">
        <v>1500</v>
      </c>
      <c r="AJ312" s="308" t="s">
        <v>4632</v>
      </c>
      <c r="AK312" s="23">
        <f>INDEX('[2]Cross-Section Database'!$C$2:$V$2928,MATCH(AJ312,'[2]Cross-Section Database'!$B$2:$B$2928,0),3)</f>
        <v>602</v>
      </c>
      <c r="AL312" s="23">
        <f>INDEX('[2]Cross-Section Database'!$C$2:$V$2928,MATCH(AJ312,'[2]Cross-Section Database'!$B$2:$B$2928,0),4)</f>
        <v>228</v>
      </c>
      <c r="AM312" s="23">
        <f>INDEX('[2]Cross-Section Database'!$C$2:$V$2928,MATCH(AJ312,'[2]Cross-Section Database'!$B$2:$B$2928,0),6)</f>
        <v>14.8</v>
      </c>
      <c r="AN312" s="23">
        <f>INDEX('[2]Cross-Section Database'!$C$2:$V$2928,MATCH(AJ312,'[2]Cross-Section Database'!$B$2:$B$2928,0),5)</f>
        <v>10.6</v>
      </c>
      <c r="AO312" s="23">
        <v>1620</v>
      </c>
      <c r="AP312" s="23">
        <f>INDEX('[2]Cross-Section Database'!$C$2:$V$3928,MATCH(AJ312,'[2]Cross-Section Database'!$B$2:$B$3928,0),11)</f>
        <v>761000000</v>
      </c>
      <c r="AQ312" s="25">
        <f>INDEX('[2]Cross-Section Database'!$C$2:$V$3928,MATCH(AJ312,'[2]Cross-Section Database'!$B$2:$B$3928,0),12)</f>
        <v>2900000</v>
      </c>
      <c r="AR312" s="23">
        <v>12</v>
      </c>
      <c r="AS312" s="23">
        <v>300</v>
      </c>
      <c r="AT312" s="23">
        <v>610</v>
      </c>
      <c r="AU312" s="23">
        <v>4</v>
      </c>
      <c r="AV312" s="23">
        <f t="shared" si="162"/>
        <v>4</v>
      </c>
      <c r="AW312" s="308" t="s">
        <v>5671</v>
      </c>
      <c r="AX312" s="311" t="s">
        <v>6129</v>
      </c>
      <c r="AY312" s="23" t="s">
        <v>6129</v>
      </c>
      <c r="AZ312" s="311">
        <v>20</v>
      </c>
      <c r="BA312" s="311">
        <f t="shared" si="160"/>
        <v>245</v>
      </c>
      <c r="BB312" s="23">
        <v>97</v>
      </c>
      <c r="BC312" s="23">
        <f t="shared" si="165"/>
        <v>97</v>
      </c>
      <c r="BD312" s="23">
        <v>205</v>
      </c>
      <c r="BE312" s="23">
        <v>90</v>
      </c>
      <c r="BF312" s="23">
        <v>0</v>
      </c>
      <c r="BG312" s="19" t="s">
        <v>4470</v>
      </c>
      <c r="BH312" s="311" t="s">
        <v>6204</v>
      </c>
      <c r="BI312" s="311" t="s">
        <v>6204</v>
      </c>
      <c r="BJ312" s="311">
        <v>2</v>
      </c>
      <c r="BK312" s="311">
        <v>6</v>
      </c>
      <c r="BL312" s="308">
        <v>120</v>
      </c>
      <c r="BM312" s="311">
        <v>2000</v>
      </c>
      <c r="BN312" s="311" t="s">
        <v>6191</v>
      </c>
      <c r="BO312" s="311">
        <v>1</v>
      </c>
      <c r="BP312" s="311">
        <v>300</v>
      </c>
      <c r="BQ312" s="311">
        <v>1620</v>
      </c>
      <c r="BR312" s="311">
        <v>55</v>
      </c>
      <c r="BS312" s="311" t="s">
        <v>4589</v>
      </c>
      <c r="BT312" s="308" t="s">
        <v>5855</v>
      </c>
      <c r="BU312" s="311">
        <v>5</v>
      </c>
      <c r="BV312" s="311">
        <v>1</v>
      </c>
      <c r="BW312" s="311">
        <v>19</v>
      </c>
      <c r="BX312" s="311">
        <v>100</v>
      </c>
      <c r="BY312" s="34">
        <v>200</v>
      </c>
      <c r="BZ312" s="14">
        <v>300</v>
      </c>
      <c r="CA312" s="311" t="s">
        <v>4586</v>
      </c>
      <c r="CB312" s="311" t="s">
        <v>4690</v>
      </c>
      <c r="CC312" s="23">
        <v>0</v>
      </c>
      <c r="CD312" s="23">
        <f>10*PI()*12^2/4</f>
        <v>1130.9733552923256</v>
      </c>
      <c r="CE312" s="34">
        <v>30</v>
      </c>
      <c r="CF312" s="120">
        <v>8.6999999999999994E-3</v>
      </c>
      <c r="CG312" s="130" t="s">
        <v>4449</v>
      </c>
      <c r="CH312" s="73">
        <v>235</v>
      </c>
      <c r="CI312" s="34">
        <v>300</v>
      </c>
      <c r="CJ312" s="23">
        <v>360</v>
      </c>
      <c r="CK312" s="34">
        <v>430</v>
      </c>
      <c r="CL312" s="117">
        <v>200000</v>
      </c>
      <c r="CM312" s="130" t="s">
        <v>4449</v>
      </c>
      <c r="CN312" s="86">
        <v>235</v>
      </c>
      <c r="CO312" s="34">
        <v>300</v>
      </c>
      <c r="CP312" s="86">
        <v>360</v>
      </c>
      <c r="CQ312" s="34">
        <v>430</v>
      </c>
      <c r="CR312" s="117">
        <v>200000</v>
      </c>
      <c r="CS312" s="130" t="s">
        <v>4449</v>
      </c>
      <c r="CT312" s="86">
        <v>235</v>
      </c>
      <c r="CU312" s="34">
        <v>300</v>
      </c>
      <c r="CV312" s="86">
        <v>360</v>
      </c>
      <c r="CW312" s="34">
        <v>430</v>
      </c>
      <c r="CX312" s="76">
        <v>200000</v>
      </c>
      <c r="CY312" s="130" t="s">
        <v>4751</v>
      </c>
      <c r="CZ312" s="83">
        <v>28.74</v>
      </c>
      <c r="DA312" s="83">
        <v>3.74</v>
      </c>
      <c r="DB312" s="82">
        <v>27070</v>
      </c>
      <c r="DC312" s="130">
        <v>540</v>
      </c>
      <c r="DD312" s="34">
        <v>650</v>
      </c>
      <c r="DE312" s="69">
        <v>200000</v>
      </c>
      <c r="DF312" s="296">
        <v>550</v>
      </c>
      <c r="DG312" s="311">
        <v>8.8000000000000007</v>
      </c>
      <c r="DH312" s="311">
        <v>640</v>
      </c>
      <c r="DI312" s="34">
        <v>750</v>
      </c>
      <c r="DJ312" s="311">
        <v>800</v>
      </c>
      <c r="DK312" s="34">
        <v>940</v>
      </c>
      <c r="DL312" s="76">
        <v>200000</v>
      </c>
      <c r="DM312" s="41" t="s">
        <v>5852</v>
      </c>
      <c r="DN312" s="311" t="s">
        <v>4560</v>
      </c>
      <c r="DO312" s="307" t="s">
        <v>4565</v>
      </c>
    </row>
    <row r="313" spans="1:119" ht="15.6" customHeight="1">
      <c r="A313" s="300">
        <v>308</v>
      </c>
      <c r="B313" s="348">
        <v>46</v>
      </c>
      <c r="C313" s="348">
        <v>2012</v>
      </c>
      <c r="D313" s="348" t="s">
        <v>4752</v>
      </c>
      <c r="E313" s="348" t="s">
        <v>4845</v>
      </c>
      <c r="F313" s="348">
        <v>2</v>
      </c>
      <c r="G313" s="348" t="s">
        <v>5935</v>
      </c>
      <c r="H313" s="348" t="s">
        <v>4675</v>
      </c>
      <c r="I313" s="348" t="s">
        <v>6218</v>
      </c>
      <c r="J313" s="284" t="s">
        <v>4726</v>
      </c>
      <c r="K313" s="300" t="s">
        <v>4383</v>
      </c>
      <c r="L313" s="309" t="s">
        <v>5791</v>
      </c>
      <c r="M313" s="300" t="s">
        <v>4507</v>
      </c>
      <c r="N313" s="309" t="s">
        <v>4700</v>
      </c>
      <c r="O313" s="17" t="s">
        <v>4506</v>
      </c>
      <c r="P313" s="309" t="s">
        <v>4420</v>
      </c>
      <c r="Q313" s="309" t="s">
        <v>4420</v>
      </c>
      <c r="R313" s="309" t="s">
        <v>4420</v>
      </c>
      <c r="S313" s="309" t="s">
        <v>5791</v>
      </c>
      <c r="T313" s="64" t="s">
        <v>4420</v>
      </c>
      <c r="U313" s="64" t="s">
        <v>5791</v>
      </c>
      <c r="V313" s="64" t="s">
        <v>4420</v>
      </c>
      <c r="W313" s="64" t="s">
        <v>5791</v>
      </c>
      <c r="X313" s="309" t="s">
        <v>4420</v>
      </c>
      <c r="Y313" s="309" t="s">
        <v>5791</v>
      </c>
      <c r="Z313" s="309" t="s">
        <v>4558</v>
      </c>
      <c r="AA313" s="17">
        <v>6</v>
      </c>
      <c r="AB313" s="232">
        <v>0</v>
      </c>
      <c r="AC313" s="17">
        <v>0</v>
      </c>
      <c r="AD313" s="300" t="s">
        <v>3952</v>
      </c>
      <c r="AE313" s="16">
        <f>INDEX('[2]Cross-Section Database'!$C$2:$V$2928,MATCH(AD313,'[2]Cross-Section Database'!$B$2:$B$2928,0),3)</f>
        <v>114</v>
      </c>
      <c r="AF313" s="16">
        <f>INDEX('[2]Cross-Section Database'!$C$2:$V$2928,MATCH(AD313,'[2]Cross-Section Database'!$B$2:$B$2928,0),4)</f>
        <v>120</v>
      </c>
      <c r="AG313" s="16">
        <f>INDEX('[2]Cross-Section Database'!$C$2:$V$2928,MATCH(AD313,'[2]Cross-Section Database'!$B$2:$B$2928,0),6)</f>
        <v>8</v>
      </c>
      <c r="AH313" s="16">
        <f>INDEX('[2]Cross-Section Database'!$C$2:$V$2928,MATCH(AD313,'[2]Cross-Section Database'!$B$2:$B$2928,0),5)</f>
        <v>5</v>
      </c>
      <c r="AI313" s="21">
        <v>510</v>
      </c>
      <c r="AJ313" s="301" t="s">
        <v>3907</v>
      </c>
      <c r="AK313" s="16">
        <f>INDEX('[2]Cross-Section Database'!$C$2:$V$2928,MATCH(AJ313,'[2]Cross-Section Database'!$B$2:$B$2928,0),3)</f>
        <v>240</v>
      </c>
      <c r="AL313" s="16">
        <f>INDEX('[2]Cross-Section Database'!$C$2:$V$2928,MATCH(AJ313,'[2]Cross-Section Database'!$B$2:$B$2928,0),4)</f>
        <v>120</v>
      </c>
      <c r="AM313" s="16">
        <f>INDEX('[2]Cross-Section Database'!$C$2:$V$2928,MATCH(AJ313,'[2]Cross-Section Database'!$B$2:$B$2928,0),6)</f>
        <v>9.8000000000000007</v>
      </c>
      <c r="AN313" s="16">
        <f>INDEX('[2]Cross-Section Database'!$C$2:$V$2928,MATCH(AJ313,'[2]Cross-Section Database'!$B$2:$B$2928,0),5)</f>
        <v>6.2</v>
      </c>
      <c r="AO313" s="16">
        <v>1703</v>
      </c>
      <c r="AP313" s="16">
        <f>INDEX('[2]Cross-Section Database'!$C$2:$V$3928,MATCH(AJ313,'[2]Cross-Section Database'!$B$2:$B$3928,0),11)</f>
        <v>38920000</v>
      </c>
      <c r="AQ313" s="26">
        <f>INDEX('[2]Cross-Section Database'!$C$2:$V$3928,MATCH(AJ313,'[2]Cross-Section Database'!$B$2:$B$3928,0),12)</f>
        <v>367000</v>
      </c>
      <c r="AR313" s="16">
        <v>15</v>
      </c>
      <c r="AS313" s="16">
        <v>150</v>
      </c>
      <c r="AT313" s="16">
        <v>285</v>
      </c>
      <c r="AU313" s="16">
        <f t="shared" ref="AU313:AU337" si="167">(AT313-AK313)-AV313</f>
        <v>22.5</v>
      </c>
      <c r="AV313" s="16">
        <f t="shared" si="162"/>
        <v>22.5</v>
      </c>
      <c r="AW313" s="300" t="s">
        <v>5806</v>
      </c>
      <c r="AX313" s="309" t="s">
        <v>4498</v>
      </c>
      <c r="AY313" s="16">
        <f>0.175*BA313*DJ313/1000</f>
        <v>21.98</v>
      </c>
      <c r="AZ313" s="309">
        <v>16</v>
      </c>
      <c r="BA313" s="309">
        <f>IF(AZ313=24,353,IF(AZ313=22,303,IF(AZ313=20,245,IF(AZ313=16,157,0))))</f>
        <v>157</v>
      </c>
      <c r="BB313" s="16">
        <v>61</v>
      </c>
      <c r="BC313" s="16">
        <v>61</v>
      </c>
      <c r="BD313" s="16">
        <v>82</v>
      </c>
      <c r="BE313" s="16">
        <v>75</v>
      </c>
      <c r="BF313" s="16">
        <v>0</v>
      </c>
      <c r="BG313" s="22" t="s">
        <v>4470</v>
      </c>
      <c r="BH313" s="309" t="s">
        <v>6204</v>
      </c>
      <c r="BI313" s="309" t="s">
        <v>6204</v>
      </c>
      <c r="BJ313" s="309">
        <v>2</v>
      </c>
      <c r="BK313" s="17">
        <v>6</v>
      </c>
      <c r="BL313" s="196" t="s">
        <v>5791</v>
      </c>
      <c r="BM313" s="197" t="s">
        <v>5791</v>
      </c>
      <c r="BN313" s="197" t="s">
        <v>5791</v>
      </c>
      <c r="BO313" s="197" t="s">
        <v>5791</v>
      </c>
      <c r="BP313" s="197" t="s">
        <v>5791</v>
      </c>
      <c r="BQ313" s="197" t="s">
        <v>5791</v>
      </c>
      <c r="BR313" s="197" t="s">
        <v>5791</v>
      </c>
      <c r="BS313" s="197" t="s">
        <v>5791</v>
      </c>
      <c r="BT313" s="196" t="s">
        <v>5791</v>
      </c>
      <c r="BU313" s="197" t="s">
        <v>5791</v>
      </c>
      <c r="BV313" s="197" t="s">
        <v>5791</v>
      </c>
      <c r="BW313" s="197" t="s">
        <v>5791</v>
      </c>
      <c r="BX313" s="197" t="s">
        <v>5791</v>
      </c>
      <c r="BY313" s="197" t="s">
        <v>5791</v>
      </c>
      <c r="BZ313" s="212" t="s">
        <v>5791</v>
      </c>
      <c r="CA313" s="197" t="s">
        <v>5791</v>
      </c>
      <c r="CB313" s="197" t="s">
        <v>5791</v>
      </c>
      <c r="CC313" s="197" t="s">
        <v>5791</v>
      </c>
      <c r="CD313" s="197" t="s">
        <v>5791</v>
      </c>
      <c r="CE313" s="197" t="s">
        <v>5791</v>
      </c>
      <c r="CF313" s="212" t="s">
        <v>5791</v>
      </c>
      <c r="CG313" s="301" t="s">
        <v>4449</v>
      </c>
      <c r="CH313" s="310">
        <v>235</v>
      </c>
      <c r="CI313" s="21">
        <f>(345+338)/2</f>
        <v>341.5</v>
      </c>
      <c r="CJ313" s="21">
        <v>360</v>
      </c>
      <c r="CK313" s="21">
        <f>(456+535)/2</f>
        <v>495.5</v>
      </c>
      <c r="CL313" s="60">
        <v>200000</v>
      </c>
      <c r="CM313" s="310" t="s">
        <v>4449</v>
      </c>
      <c r="CN313" s="310">
        <v>235</v>
      </c>
      <c r="CO313" s="21">
        <f>(343+356)/2</f>
        <v>349.5</v>
      </c>
      <c r="CP313" s="310">
        <v>360</v>
      </c>
      <c r="CQ313" s="310">
        <f>(456+480)/2</f>
        <v>468</v>
      </c>
      <c r="CR313" s="75">
        <v>200000</v>
      </c>
      <c r="CS313" s="310" t="s">
        <v>4449</v>
      </c>
      <c r="CT313" s="59">
        <v>235</v>
      </c>
      <c r="CU313" s="310">
        <v>310</v>
      </c>
      <c r="CV313" s="59">
        <v>360</v>
      </c>
      <c r="CW313" s="310">
        <v>464</v>
      </c>
      <c r="CX313" s="60">
        <v>200000</v>
      </c>
      <c r="CY313" s="198" t="s">
        <v>5791</v>
      </c>
      <c r="CZ313" s="199" t="s">
        <v>5791</v>
      </c>
      <c r="DA313" s="199" t="s">
        <v>5791</v>
      </c>
      <c r="DB313" s="200" t="s">
        <v>5791</v>
      </c>
      <c r="DC313" s="198" t="s">
        <v>5791</v>
      </c>
      <c r="DD313" s="199" t="s">
        <v>5791</v>
      </c>
      <c r="DE313" s="200" t="s">
        <v>5791</v>
      </c>
      <c r="DF313" s="274" t="s">
        <v>5791</v>
      </c>
      <c r="DG313" s="309">
        <v>8.8000000000000007</v>
      </c>
      <c r="DH313" s="309">
        <v>640</v>
      </c>
      <c r="DI313" s="309">
        <v>893</v>
      </c>
      <c r="DJ313" s="309">
        <v>800</v>
      </c>
      <c r="DK313" s="309">
        <v>1010</v>
      </c>
      <c r="DL313" s="75">
        <v>200000</v>
      </c>
      <c r="DM313" s="141" t="s">
        <v>4764</v>
      </c>
      <c r="DN313" s="309" t="s">
        <v>4435</v>
      </c>
      <c r="DO313" s="305" t="s">
        <v>4565</v>
      </c>
    </row>
    <row r="314" spans="1:119" ht="15.6" customHeight="1" thickBot="1">
      <c r="A314" s="308">
        <v>309</v>
      </c>
      <c r="B314" s="350"/>
      <c r="C314" s="350"/>
      <c r="D314" s="350"/>
      <c r="E314" s="350"/>
      <c r="F314" s="350"/>
      <c r="G314" s="350"/>
      <c r="H314" s="350"/>
      <c r="I314" s="350"/>
      <c r="J314" s="285" t="s">
        <v>4727</v>
      </c>
      <c r="K314" s="308" t="s">
        <v>4383</v>
      </c>
      <c r="L314" s="311" t="s">
        <v>5791</v>
      </c>
      <c r="M314" s="308" t="s">
        <v>4551</v>
      </c>
      <c r="N314" s="311" t="s">
        <v>4706</v>
      </c>
      <c r="O314" s="14" t="s">
        <v>4506</v>
      </c>
      <c r="P314" s="311" t="s">
        <v>4420</v>
      </c>
      <c r="Q314" s="311" t="s">
        <v>4420</v>
      </c>
      <c r="R314" s="311" t="s">
        <v>4420</v>
      </c>
      <c r="S314" s="311" t="s">
        <v>5791</v>
      </c>
      <c r="T314" s="86" t="s">
        <v>4420</v>
      </c>
      <c r="U314" s="86" t="s">
        <v>5791</v>
      </c>
      <c r="V314" s="86" t="s">
        <v>4420</v>
      </c>
      <c r="W314" s="86" t="s">
        <v>5791</v>
      </c>
      <c r="X314" s="311" t="s">
        <v>4420</v>
      </c>
      <c r="Y314" s="311" t="s">
        <v>5791</v>
      </c>
      <c r="Z314" s="311" t="s">
        <v>4558</v>
      </c>
      <c r="AA314" s="14">
        <v>6</v>
      </c>
      <c r="AB314" s="228">
        <v>0</v>
      </c>
      <c r="AC314" s="14" t="s">
        <v>5791</v>
      </c>
      <c r="AD314" s="191" t="s">
        <v>5791</v>
      </c>
      <c r="AE314" s="192" t="s">
        <v>4686</v>
      </c>
      <c r="AF314" s="192" t="s">
        <v>4686</v>
      </c>
      <c r="AG314" s="193" t="s">
        <v>4686</v>
      </c>
      <c r="AH314" s="193" t="s">
        <v>4686</v>
      </c>
      <c r="AI314" s="193" t="s">
        <v>4686</v>
      </c>
      <c r="AJ314" s="308" t="s">
        <v>3907</v>
      </c>
      <c r="AK314" s="23">
        <f>INDEX('[2]Cross-Section Database'!$C$2:$V$2928,MATCH(AJ314,'[2]Cross-Section Database'!$B$2:$B$2928,0),3)</f>
        <v>240</v>
      </c>
      <c r="AL314" s="23">
        <f>INDEX('[2]Cross-Section Database'!$C$2:$V$2928,MATCH(AJ314,'[2]Cross-Section Database'!$B$2:$B$2928,0),4)</f>
        <v>120</v>
      </c>
      <c r="AM314" s="23">
        <f>INDEX('[2]Cross-Section Database'!$C$2:$V$2928,MATCH(AJ314,'[2]Cross-Section Database'!$B$2:$B$2928,0),6)</f>
        <v>9.8000000000000007</v>
      </c>
      <c r="AN314" s="23">
        <f>INDEX('[2]Cross-Section Database'!$C$2:$V$2928,MATCH(AJ314,'[2]Cross-Section Database'!$B$2:$B$2928,0),5)</f>
        <v>6.2</v>
      </c>
      <c r="AO314" s="23">
        <v>1745</v>
      </c>
      <c r="AP314" s="23">
        <f>INDEX('[2]Cross-Section Database'!$C$2:$V$3928,MATCH(AJ314,'[2]Cross-Section Database'!$B$2:$B$3928,0),11)</f>
        <v>38920000</v>
      </c>
      <c r="AQ314" s="25">
        <f>INDEX('[2]Cross-Section Database'!$C$2:$V$3928,MATCH(AJ314,'[2]Cross-Section Database'!$B$2:$B$3928,0),12)</f>
        <v>367000</v>
      </c>
      <c r="AR314" s="23">
        <v>15</v>
      </c>
      <c r="AS314" s="23">
        <v>150</v>
      </c>
      <c r="AT314" s="23">
        <v>285</v>
      </c>
      <c r="AU314" s="23">
        <f t="shared" si="167"/>
        <v>22.5</v>
      </c>
      <c r="AV314" s="23">
        <f t="shared" si="162"/>
        <v>22.5</v>
      </c>
      <c r="AW314" s="308" t="s">
        <v>5806</v>
      </c>
      <c r="AX314" s="311" t="s">
        <v>4498</v>
      </c>
      <c r="AY314" s="23">
        <f>0.175*BA314*DJ314/1000</f>
        <v>21.98</v>
      </c>
      <c r="AZ314" s="311">
        <v>16</v>
      </c>
      <c r="BA314" s="311">
        <f>IF(AZ314=24,353,IF(AZ314=22,303,IF(AZ314=20,245,IF(AZ314=16,157,0))))</f>
        <v>157</v>
      </c>
      <c r="BB314" s="23">
        <v>61</v>
      </c>
      <c r="BC314" s="23">
        <v>61</v>
      </c>
      <c r="BD314" s="23">
        <v>82</v>
      </c>
      <c r="BE314" s="23">
        <v>75</v>
      </c>
      <c r="BF314" s="23">
        <v>0</v>
      </c>
      <c r="BG314" s="19" t="s">
        <v>4470</v>
      </c>
      <c r="BH314" s="311" t="s">
        <v>6204</v>
      </c>
      <c r="BI314" s="311" t="s">
        <v>6204</v>
      </c>
      <c r="BJ314" s="311">
        <v>2</v>
      </c>
      <c r="BK314" s="14">
        <v>6</v>
      </c>
      <c r="BL314" s="191" t="s">
        <v>5791</v>
      </c>
      <c r="BM314" s="192" t="s">
        <v>5791</v>
      </c>
      <c r="BN314" s="192" t="s">
        <v>5791</v>
      </c>
      <c r="BO314" s="192" t="s">
        <v>5791</v>
      </c>
      <c r="BP314" s="192" t="s">
        <v>5791</v>
      </c>
      <c r="BQ314" s="192" t="s">
        <v>5791</v>
      </c>
      <c r="BR314" s="192" t="s">
        <v>5791</v>
      </c>
      <c r="BS314" s="192" t="s">
        <v>5791</v>
      </c>
      <c r="BT314" s="191" t="s">
        <v>5791</v>
      </c>
      <c r="BU314" s="192" t="s">
        <v>5791</v>
      </c>
      <c r="BV314" s="192" t="s">
        <v>5791</v>
      </c>
      <c r="BW314" s="192" t="s">
        <v>5791</v>
      </c>
      <c r="BX314" s="192" t="s">
        <v>5791</v>
      </c>
      <c r="BY314" s="192" t="s">
        <v>5791</v>
      </c>
      <c r="BZ314" s="214" t="s">
        <v>5791</v>
      </c>
      <c r="CA314" s="192" t="s">
        <v>5791</v>
      </c>
      <c r="CB314" s="192" t="s">
        <v>5791</v>
      </c>
      <c r="CC314" s="192" t="s">
        <v>5791</v>
      </c>
      <c r="CD314" s="192" t="s">
        <v>5791</v>
      </c>
      <c r="CE314" s="192" t="s">
        <v>5791</v>
      </c>
      <c r="CF314" s="214" t="s">
        <v>5791</v>
      </c>
      <c r="CG314" s="308" t="s">
        <v>4449</v>
      </c>
      <c r="CH314" s="311">
        <v>235</v>
      </c>
      <c r="CI314" s="23">
        <f>(345+338)/2</f>
        <v>341.5</v>
      </c>
      <c r="CJ314" s="23">
        <v>360</v>
      </c>
      <c r="CK314" s="23">
        <f>(456+535)/2</f>
        <v>495.5</v>
      </c>
      <c r="CL314" s="76">
        <v>200000</v>
      </c>
      <c r="CM314" s="311" t="s">
        <v>4449</v>
      </c>
      <c r="CN314" s="311">
        <v>235</v>
      </c>
      <c r="CO314" s="23">
        <f>(343+356)/2</f>
        <v>349.5</v>
      </c>
      <c r="CP314" s="311">
        <v>360</v>
      </c>
      <c r="CQ314" s="311">
        <f>(456+480)/2</f>
        <v>468</v>
      </c>
      <c r="CR314" s="76">
        <v>200000</v>
      </c>
      <c r="CS314" s="311" t="s">
        <v>4449</v>
      </c>
      <c r="CT314" s="86">
        <v>235</v>
      </c>
      <c r="CU314" s="311">
        <v>310</v>
      </c>
      <c r="CV314" s="86">
        <v>360</v>
      </c>
      <c r="CW314" s="311">
        <v>464</v>
      </c>
      <c r="CX314" s="76">
        <v>200000</v>
      </c>
      <c r="CY314" s="201" t="s">
        <v>5791</v>
      </c>
      <c r="CZ314" s="202" t="s">
        <v>5791</v>
      </c>
      <c r="DA314" s="202" t="s">
        <v>5791</v>
      </c>
      <c r="DB314" s="203" t="s">
        <v>5791</v>
      </c>
      <c r="DC314" s="201" t="s">
        <v>5791</v>
      </c>
      <c r="DD314" s="202" t="s">
        <v>5791</v>
      </c>
      <c r="DE314" s="203" t="s">
        <v>5791</v>
      </c>
      <c r="DF314" s="275" t="s">
        <v>5791</v>
      </c>
      <c r="DG314" s="311">
        <v>8.8000000000000007</v>
      </c>
      <c r="DH314" s="311">
        <v>640</v>
      </c>
      <c r="DI314" s="311">
        <v>893</v>
      </c>
      <c r="DJ314" s="311">
        <v>800</v>
      </c>
      <c r="DK314" s="311">
        <v>1010</v>
      </c>
      <c r="DL314" s="76">
        <v>200000</v>
      </c>
      <c r="DM314" s="142" t="s">
        <v>5835</v>
      </c>
      <c r="DN314" s="308" t="s">
        <v>4435</v>
      </c>
      <c r="DO314" s="307" t="s">
        <v>4565</v>
      </c>
    </row>
    <row r="315" spans="1:119" ht="15.6" customHeight="1">
      <c r="A315" s="300">
        <v>310</v>
      </c>
      <c r="B315" s="348">
        <v>47</v>
      </c>
      <c r="C315" s="348">
        <v>2012</v>
      </c>
      <c r="D315" s="357" t="s">
        <v>4682</v>
      </c>
      <c r="E315" s="359" t="s">
        <v>4844</v>
      </c>
      <c r="F315" s="348">
        <v>4</v>
      </c>
      <c r="G315" s="368" t="s">
        <v>5934</v>
      </c>
      <c r="H315" s="368" t="s">
        <v>5933</v>
      </c>
      <c r="I315" s="368" t="s">
        <v>6250</v>
      </c>
      <c r="J315" s="286" t="s">
        <v>4566</v>
      </c>
      <c r="K315" s="300" t="s">
        <v>4383</v>
      </c>
      <c r="L315" s="309" t="s">
        <v>5791</v>
      </c>
      <c r="M315" s="300" t="s">
        <v>4508</v>
      </c>
      <c r="N315" s="309" t="s">
        <v>4702</v>
      </c>
      <c r="O315" s="17" t="s">
        <v>4506</v>
      </c>
      <c r="P315" s="309" t="s">
        <v>6317</v>
      </c>
      <c r="Q315" s="309" t="s">
        <v>4420</v>
      </c>
      <c r="R315" s="309" t="s">
        <v>4420</v>
      </c>
      <c r="S315" s="309" t="s">
        <v>5791</v>
      </c>
      <c r="T315" s="64" t="s">
        <v>4420</v>
      </c>
      <c r="U315" s="64" t="s">
        <v>5791</v>
      </c>
      <c r="V315" s="64" t="s">
        <v>4420</v>
      </c>
      <c r="W315" s="64" t="s">
        <v>5791</v>
      </c>
      <c r="X315" s="309" t="s">
        <v>4420</v>
      </c>
      <c r="Y315" s="309" t="s">
        <v>5791</v>
      </c>
      <c r="Z315" s="309" t="s">
        <v>6046</v>
      </c>
      <c r="AA315" s="17">
        <v>10</v>
      </c>
      <c r="AB315" s="232">
        <v>0</v>
      </c>
      <c r="AC315" s="17">
        <v>0</v>
      </c>
      <c r="AD315" s="300" t="s">
        <v>4353</v>
      </c>
      <c r="AE315" s="16">
        <f>INDEX('[2]Cross-Section Database'!$C$2:$V$2928,MATCH(AD315,'[2]Cross-Section Database'!$B$2:$B$2928,0),3)</f>
        <v>314.5</v>
      </c>
      <c r="AF315" s="16">
        <f>INDEX('[2]Cross-Section Database'!$C$2:$V$2928,MATCH(AD315,'[2]Cross-Section Database'!$B$2:$B$2928,0),4)</f>
        <v>307.39999999999998</v>
      </c>
      <c r="AG315" s="16">
        <f>INDEX('[2]Cross-Section Database'!$C$2:$V$2928,MATCH(AD315,'[2]Cross-Section Database'!$B$2:$B$2928,0),6)</f>
        <v>18.7</v>
      </c>
      <c r="AH315" s="16">
        <f>INDEX('[2]Cross-Section Database'!$C$2:$V$2928,MATCH(AD315,'[2]Cross-Section Database'!$B$2:$B$2928,0),5)</f>
        <v>12</v>
      </c>
      <c r="AI315" s="16">
        <v>3000</v>
      </c>
      <c r="AJ315" s="300" t="s">
        <v>4807</v>
      </c>
      <c r="AK315" s="16">
        <v>400</v>
      </c>
      <c r="AL315" s="16">
        <v>140</v>
      </c>
      <c r="AM315" s="16">
        <v>12</v>
      </c>
      <c r="AN315" s="16">
        <v>5</v>
      </c>
      <c r="AO315" s="16">
        <v>1300</v>
      </c>
      <c r="AP315" s="16">
        <f>AL315*AK315^3/12-(AL315-AN315)*(AK315-2*AM315)^3/12</f>
        <v>148646186.66666663</v>
      </c>
      <c r="AQ315" s="24">
        <f>AL315*AK315^2/4-(AL315-AN315)*(AK315-2*AM315)^2/4</f>
        <v>828560</v>
      </c>
      <c r="AR315" s="16">
        <v>12</v>
      </c>
      <c r="AS315" s="16">
        <v>200</v>
      </c>
      <c r="AT315" s="16">
        <v>450</v>
      </c>
      <c r="AU315" s="16">
        <f t="shared" si="167"/>
        <v>25</v>
      </c>
      <c r="AV315" s="16">
        <f t="shared" si="162"/>
        <v>25</v>
      </c>
      <c r="AW315" s="300" t="s">
        <v>5806</v>
      </c>
      <c r="AX315" s="309" t="s">
        <v>6129</v>
      </c>
      <c r="AY315" s="16" t="s">
        <v>6129</v>
      </c>
      <c r="AZ315" s="309">
        <v>20</v>
      </c>
      <c r="BA315" s="309">
        <f t="shared" si="160"/>
        <v>245</v>
      </c>
      <c r="BB315" s="16">
        <v>85</v>
      </c>
      <c r="BC315" s="16">
        <f t="shared" si="165"/>
        <v>85</v>
      </c>
      <c r="BD315" s="16">
        <v>0</v>
      </c>
      <c r="BE315" s="16">
        <v>90</v>
      </c>
      <c r="BF315" s="16">
        <f>AT315-BB315-BC315-BD315</f>
        <v>280</v>
      </c>
      <c r="BG315" s="22" t="s">
        <v>4470</v>
      </c>
      <c r="BH315" s="309" t="s">
        <v>6204</v>
      </c>
      <c r="BI315" s="309" t="s">
        <v>6204</v>
      </c>
      <c r="BJ315" s="309">
        <v>2</v>
      </c>
      <c r="BK315" s="309">
        <v>4</v>
      </c>
      <c r="BL315" s="194" t="s">
        <v>5791</v>
      </c>
      <c r="BM315" s="195" t="s">
        <v>5791</v>
      </c>
      <c r="BN315" s="195" t="s">
        <v>5791</v>
      </c>
      <c r="BO315" s="195" t="s">
        <v>5791</v>
      </c>
      <c r="BP315" s="195" t="s">
        <v>5791</v>
      </c>
      <c r="BQ315" s="195" t="s">
        <v>5791</v>
      </c>
      <c r="BR315" s="195" t="s">
        <v>5791</v>
      </c>
      <c r="BS315" s="195" t="s">
        <v>5791</v>
      </c>
      <c r="BT315" s="194" t="s">
        <v>5791</v>
      </c>
      <c r="BU315" s="195" t="s">
        <v>5791</v>
      </c>
      <c r="BV315" s="195" t="s">
        <v>5791</v>
      </c>
      <c r="BW315" s="195" t="s">
        <v>5791</v>
      </c>
      <c r="BX315" s="195" t="s">
        <v>5791</v>
      </c>
      <c r="BY315" s="195" t="s">
        <v>5791</v>
      </c>
      <c r="BZ315" s="213" t="s">
        <v>5791</v>
      </c>
      <c r="CA315" s="195" t="s">
        <v>5791</v>
      </c>
      <c r="CB315" s="195" t="s">
        <v>5791</v>
      </c>
      <c r="CC315" s="195" t="s">
        <v>5791</v>
      </c>
      <c r="CD315" s="195" t="s">
        <v>5791</v>
      </c>
      <c r="CE315" s="195" t="s">
        <v>5791</v>
      </c>
      <c r="CF315" s="213" t="s">
        <v>5791</v>
      </c>
      <c r="CG315" s="309" t="s">
        <v>4450</v>
      </c>
      <c r="CH315" s="309">
        <v>275</v>
      </c>
      <c r="CI315" s="16">
        <v>371</v>
      </c>
      <c r="CJ315" s="16">
        <v>410</v>
      </c>
      <c r="CK315" s="16">
        <f>(458+531)/2</f>
        <v>494.5</v>
      </c>
      <c r="CL315" s="80">
        <v>203000</v>
      </c>
      <c r="CM315" s="300" t="s">
        <v>4384</v>
      </c>
      <c r="CN315" s="309">
        <v>355</v>
      </c>
      <c r="CO315" s="16">
        <f>(317+373)/2</f>
        <v>345</v>
      </c>
      <c r="CP315" s="16">
        <v>470</v>
      </c>
      <c r="CQ315" s="16">
        <v>545</v>
      </c>
      <c r="CR315" s="80">
        <v>236500</v>
      </c>
      <c r="CS315" s="30" t="s">
        <v>4450</v>
      </c>
      <c r="CT315" s="71">
        <v>275</v>
      </c>
      <c r="CU315" s="16">
        <v>334</v>
      </c>
      <c r="CV315" s="71">
        <v>410</v>
      </c>
      <c r="CW315" s="16">
        <v>413</v>
      </c>
      <c r="CX315" s="104">
        <v>235000</v>
      </c>
      <c r="CY315" s="198" t="s">
        <v>5791</v>
      </c>
      <c r="CZ315" s="199" t="s">
        <v>5791</v>
      </c>
      <c r="DA315" s="199" t="s">
        <v>5791</v>
      </c>
      <c r="DB315" s="200" t="s">
        <v>5791</v>
      </c>
      <c r="DC315" s="198" t="s">
        <v>5791</v>
      </c>
      <c r="DD315" s="199" t="s">
        <v>5791</v>
      </c>
      <c r="DE315" s="200" t="s">
        <v>5791</v>
      </c>
      <c r="DF315" s="273" t="s">
        <v>5791</v>
      </c>
      <c r="DG315" s="309">
        <v>8.8000000000000007</v>
      </c>
      <c r="DH315" s="309">
        <v>640</v>
      </c>
      <c r="DI315" s="30">
        <v>730</v>
      </c>
      <c r="DJ315" s="309">
        <v>800</v>
      </c>
      <c r="DK315" s="30">
        <v>940</v>
      </c>
      <c r="DL315" s="75">
        <v>200000</v>
      </c>
      <c r="DM315" s="28" t="s">
        <v>5831</v>
      </c>
      <c r="DN315" s="309" t="s">
        <v>6053</v>
      </c>
      <c r="DO315" s="305" t="s">
        <v>6045</v>
      </c>
    </row>
    <row r="316" spans="1:119">
      <c r="A316" s="301">
        <v>311</v>
      </c>
      <c r="B316" s="349"/>
      <c r="C316" s="349"/>
      <c r="D316" s="358"/>
      <c r="E316" s="360"/>
      <c r="F316" s="349"/>
      <c r="G316" s="369"/>
      <c r="H316" s="369"/>
      <c r="I316" s="369"/>
      <c r="J316" s="286" t="s">
        <v>4567</v>
      </c>
      <c r="K316" s="301" t="s">
        <v>4383</v>
      </c>
      <c r="L316" s="310" t="s">
        <v>5791</v>
      </c>
      <c r="M316" s="301" t="s">
        <v>4508</v>
      </c>
      <c r="N316" s="310" t="s">
        <v>4702</v>
      </c>
      <c r="O316" s="18" t="s">
        <v>4506</v>
      </c>
      <c r="P316" s="310" t="s">
        <v>6317</v>
      </c>
      <c r="Q316" s="310" t="s">
        <v>4420</v>
      </c>
      <c r="R316" s="310" t="s">
        <v>4420</v>
      </c>
      <c r="S316" s="310" t="s">
        <v>5791</v>
      </c>
      <c r="T316" s="59" t="s">
        <v>4420</v>
      </c>
      <c r="U316" s="59" t="s">
        <v>5791</v>
      </c>
      <c r="V316" s="59" t="s">
        <v>4420</v>
      </c>
      <c r="W316" s="59" t="s">
        <v>5791</v>
      </c>
      <c r="X316" s="310" t="s">
        <v>4420</v>
      </c>
      <c r="Y316" s="310" t="s">
        <v>5791</v>
      </c>
      <c r="Z316" s="310" t="s">
        <v>6046</v>
      </c>
      <c r="AA316" s="18">
        <v>10</v>
      </c>
      <c r="AB316" s="223">
        <v>0</v>
      </c>
      <c r="AC316" s="18">
        <v>0</v>
      </c>
      <c r="AD316" s="301" t="s">
        <v>4353</v>
      </c>
      <c r="AE316" s="21">
        <f>INDEX('[2]Cross-Section Database'!$C$2:$V$2928,MATCH(AD316,'[2]Cross-Section Database'!$B$2:$B$2928,0),3)</f>
        <v>314.5</v>
      </c>
      <c r="AF316" s="21">
        <f>INDEX('[2]Cross-Section Database'!$C$2:$V$2928,MATCH(AD316,'[2]Cross-Section Database'!$B$2:$B$2928,0),4)</f>
        <v>307.39999999999998</v>
      </c>
      <c r="AG316" s="21">
        <f>INDEX('[2]Cross-Section Database'!$C$2:$V$2928,MATCH(AD316,'[2]Cross-Section Database'!$B$2:$B$2928,0),6)</f>
        <v>18.7</v>
      </c>
      <c r="AH316" s="21">
        <f>INDEX('[2]Cross-Section Database'!$C$2:$V$2928,MATCH(AD316,'[2]Cross-Section Database'!$B$2:$B$2928,0),5)</f>
        <v>12</v>
      </c>
      <c r="AI316" s="21">
        <v>3000</v>
      </c>
      <c r="AJ316" s="301" t="s">
        <v>4806</v>
      </c>
      <c r="AK316" s="21">
        <v>500</v>
      </c>
      <c r="AL316" s="21">
        <v>180</v>
      </c>
      <c r="AM316" s="21">
        <v>16</v>
      </c>
      <c r="AN316" s="21">
        <v>5</v>
      </c>
      <c r="AO316" s="21">
        <v>1300</v>
      </c>
      <c r="AP316" s="21">
        <f>AL316*AK316^3/12-(AL316-AN316)*(AK316-2*AM316)^3/12</f>
        <v>380161200</v>
      </c>
      <c r="AQ316" s="24">
        <f>AL316*AK316^2/4-(AL316-AN316)*(AK316-2*AM316)^2/4</f>
        <v>1667700</v>
      </c>
      <c r="AR316" s="21">
        <v>12</v>
      </c>
      <c r="AS316" s="21">
        <v>200</v>
      </c>
      <c r="AT316" s="21">
        <v>550</v>
      </c>
      <c r="AU316" s="21">
        <f t="shared" si="167"/>
        <v>25</v>
      </c>
      <c r="AV316" s="21">
        <f t="shared" si="162"/>
        <v>25</v>
      </c>
      <c r="AW316" s="301" t="s">
        <v>5806</v>
      </c>
      <c r="AX316" s="310" t="s">
        <v>6129</v>
      </c>
      <c r="AY316" s="21" t="s">
        <v>6129</v>
      </c>
      <c r="AZ316" s="310">
        <v>20</v>
      </c>
      <c r="BA316" s="310">
        <f t="shared" si="160"/>
        <v>245</v>
      </c>
      <c r="BB316" s="21">
        <v>85</v>
      </c>
      <c r="BC316" s="21">
        <f t="shared" si="165"/>
        <v>85</v>
      </c>
      <c r="BD316" s="21">
        <v>0</v>
      </c>
      <c r="BE316" s="21">
        <v>90</v>
      </c>
      <c r="BF316" s="21">
        <f>AT316-BB316-BC316-BD316</f>
        <v>380</v>
      </c>
      <c r="BG316" s="15" t="s">
        <v>4470</v>
      </c>
      <c r="BH316" s="310" t="s">
        <v>6204</v>
      </c>
      <c r="BI316" s="310" t="s">
        <v>6204</v>
      </c>
      <c r="BJ316" s="310">
        <v>2</v>
      </c>
      <c r="BK316" s="310">
        <v>4</v>
      </c>
      <c r="BL316" s="196" t="s">
        <v>5791</v>
      </c>
      <c r="BM316" s="197" t="s">
        <v>5791</v>
      </c>
      <c r="BN316" s="197" t="s">
        <v>5791</v>
      </c>
      <c r="BO316" s="197" t="s">
        <v>5791</v>
      </c>
      <c r="BP316" s="197" t="s">
        <v>5791</v>
      </c>
      <c r="BQ316" s="197" t="s">
        <v>5791</v>
      </c>
      <c r="BR316" s="197" t="s">
        <v>5791</v>
      </c>
      <c r="BS316" s="197" t="s">
        <v>5791</v>
      </c>
      <c r="BT316" s="196" t="s">
        <v>5791</v>
      </c>
      <c r="BU316" s="197" t="s">
        <v>5791</v>
      </c>
      <c r="BV316" s="197" t="s">
        <v>5791</v>
      </c>
      <c r="BW316" s="197" t="s">
        <v>5791</v>
      </c>
      <c r="BX316" s="197" t="s">
        <v>5791</v>
      </c>
      <c r="BY316" s="197" t="s">
        <v>5791</v>
      </c>
      <c r="BZ316" s="212" t="s">
        <v>5791</v>
      </c>
      <c r="CA316" s="197" t="s">
        <v>5791</v>
      </c>
      <c r="CB316" s="197" t="s">
        <v>5791</v>
      </c>
      <c r="CC316" s="197" t="s">
        <v>5791</v>
      </c>
      <c r="CD316" s="197" t="s">
        <v>5791</v>
      </c>
      <c r="CE316" s="197" t="s">
        <v>5791</v>
      </c>
      <c r="CF316" s="212" t="s">
        <v>5791</v>
      </c>
      <c r="CG316" s="310" t="s">
        <v>4450</v>
      </c>
      <c r="CH316" s="310">
        <v>275</v>
      </c>
      <c r="CI316" s="21">
        <v>371</v>
      </c>
      <c r="CJ316" s="21">
        <v>410</v>
      </c>
      <c r="CK316" s="21">
        <f>(458+531)/2</f>
        <v>494.5</v>
      </c>
      <c r="CL316" s="68">
        <v>203000</v>
      </c>
      <c r="CM316" s="301" t="s">
        <v>4384</v>
      </c>
      <c r="CN316" s="310">
        <v>355</v>
      </c>
      <c r="CO316" s="21">
        <f>(317+373)/2</f>
        <v>345</v>
      </c>
      <c r="CP316" s="21">
        <v>470</v>
      </c>
      <c r="CQ316" s="21">
        <v>545</v>
      </c>
      <c r="CR316" s="68">
        <v>236500</v>
      </c>
      <c r="CS316" s="32" t="s">
        <v>4450</v>
      </c>
      <c r="CT316" s="46">
        <v>275</v>
      </c>
      <c r="CU316" s="21">
        <v>334</v>
      </c>
      <c r="CV316" s="46">
        <v>410</v>
      </c>
      <c r="CW316" s="21">
        <v>413</v>
      </c>
      <c r="CX316" s="61">
        <v>235000</v>
      </c>
      <c r="CY316" s="201" t="s">
        <v>5791</v>
      </c>
      <c r="CZ316" s="202" t="s">
        <v>5791</v>
      </c>
      <c r="DA316" s="202" t="s">
        <v>5791</v>
      </c>
      <c r="DB316" s="203" t="s">
        <v>5791</v>
      </c>
      <c r="DC316" s="201" t="s">
        <v>5791</v>
      </c>
      <c r="DD316" s="202" t="s">
        <v>5791</v>
      </c>
      <c r="DE316" s="203" t="s">
        <v>5791</v>
      </c>
      <c r="DF316" s="274" t="s">
        <v>5791</v>
      </c>
      <c r="DG316" s="310">
        <v>8.8000000000000007</v>
      </c>
      <c r="DH316" s="310">
        <v>640</v>
      </c>
      <c r="DI316" s="32">
        <v>730</v>
      </c>
      <c r="DJ316" s="310">
        <v>800</v>
      </c>
      <c r="DK316" s="32">
        <v>940</v>
      </c>
      <c r="DL316" s="60">
        <v>200000</v>
      </c>
      <c r="DM316" s="29" t="s">
        <v>6047</v>
      </c>
      <c r="DN316" s="310" t="s">
        <v>6053</v>
      </c>
      <c r="DO316" s="306" t="s">
        <v>6045</v>
      </c>
    </row>
    <row r="317" spans="1:119">
      <c r="A317" s="301">
        <v>312</v>
      </c>
      <c r="B317" s="349"/>
      <c r="C317" s="349"/>
      <c r="D317" s="358"/>
      <c r="E317" s="360"/>
      <c r="F317" s="349"/>
      <c r="G317" s="369"/>
      <c r="H317" s="369"/>
      <c r="I317" s="369"/>
      <c r="J317" s="286" t="s">
        <v>4568</v>
      </c>
      <c r="K317" s="301" t="s">
        <v>4383</v>
      </c>
      <c r="L317" s="310" t="s">
        <v>5791</v>
      </c>
      <c r="M317" s="301" t="s">
        <v>4508</v>
      </c>
      <c r="N317" s="310" t="s">
        <v>4702</v>
      </c>
      <c r="O317" s="18" t="s">
        <v>4506</v>
      </c>
      <c r="P317" s="310" t="s">
        <v>6317</v>
      </c>
      <c r="Q317" s="310" t="s">
        <v>4420</v>
      </c>
      <c r="R317" s="310" t="s">
        <v>4420</v>
      </c>
      <c r="S317" s="310" t="s">
        <v>5791</v>
      </c>
      <c r="T317" s="59" t="s">
        <v>4420</v>
      </c>
      <c r="U317" s="59" t="s">
        <v>5791</v>
      </c>
      <c r="V317" s="59" t="s">
        <v>4420</v>
      </c>
      <c r="W317" s="59" t="s">
        <v>5791</v>
      </c>
      <c r="X317" s="310" t="s">
        <v>4420</v>
      </c>
      <c r="Y317" s="310" t="s">
        <v>5791</v>
      </c>
      <c r="Z317" s="310" t="s">
        <v>6046</v>
      </c>
      <c r="AA317" s="18">
        <v>10</v>
      </c>
      <c r="AB317" s="223">
        <v>0</v>
      </c>
      <c r="AC317" s="18">
        <v>0</v>
      </c>
      <c r="AD317" s="301" t="s">
        <v>4353</v>
      </c>
      <c r="AE317" s="21">
        <f>INDEX('[2]Cross-Section Database'!$C$2:$V$2928,MATCH(AD317,'[2]Cross-Section Database'!$B$2:$B$2928,0),3)</f>
        <v>314.5</v>
      </c>
      <c r="AF317" s="21">
        <f>INDEX('[2]Cross-Section Database'!$C$2:$V$2928,MATCH(AD317,'[2]Cross-Section Database'!$B$2:$B$2928,0),4)</f>
        <v>307.39999999999998</v>
      </c>
      <c r="AG317" s="21">
        <f>INDEX('[2]Cross-Section Database'!$C$2:$V$2928,MATCH(AD317,'[2]Cross-Section Database'!$B$2:$B$2928,0),6)</f>
        <v>18.7</v>
      </c>
      <c r="AH317" s="21">
        <f>INDEX('[2]Cross-Section Database'!$C$2:$V$2928,MATCH(AD317,'[2]Cross-Section Database'!$B$2:$B$2928,0),5)</f>
        <v>12</v>
      </c>
      <c r="AI317" s="21">
        <v>3000</v>
      </c>
      <c r="AJ317" s="301" t="s">
        <v>4805</v>
      </c>
      <c r="AK317" s="21">
        <v>450</v>
      </c>
      <c r="AL317" s="21">
        <v>160</v>
      </c>
      <c r="AM317" s="21">
        <v>12</v>
      </c>
      <c r="AN317" s="21">
        <v>5</v>
      </c>
      <c r="AO317" s="21">
        <v>1300</v>
      </c>
      <c r="AP317" s="21">
        <f>AL317*AK317^3/12-(AL317-AN317)*(AK317-2*AM317)^3/12</f>
        <v>216428310</v>
      </c>
      <c r="AQ317" s="24">
        <f>AL317*AK317^2/4-(AL317-AN317)*(AK317-2*AM317)^2/4</f>
        <v>1067805</v>
      </c>
      <c r="AR317" s="21">
        <v>12</v>
      </c>
      <c r="AS317" s="21">
        <v>200</v>
      </c>
      <c r="AT317" s="21">
        <v>500</v>
      </c>
      <c r="AU317" s="21">
        <f t="shared" si="167"/>
        <v>25</v>
      </c>
      <c r="AV317" s="21">
        <f t="shared" si="162"/>
        <v>25</v>
      </c>
      <c r="AW317" s="301" t="s">
        <v>5806</v>
      </c>
      <c r="AX317" s="310" t="s">
        <v>6129</v>
      </c>
      <c r="AY317" s="21" t="s">
        <v>6129</v>
      </c>
      <c r="AZ317" s="310">
        <v>20</v>
      </c>
      <c r="BA317" s="310">
        <f t="shared" si="160"/>
        <v>245</v>
      </c>
      <c r="BB317" s="21">
        <v>85</v>
      </c>
      <c r="BC317" s="21">
        <f t="shared" si="165"/>
        <v>85</v>
      </c>
      <c r="BD317" s="21">
        <v>90</v>
      </c>
      <c r="BE317" s="21">
        <v>90</v>
      </c>
      <c r="BF317" s="21">
        <f>AT317-BB317-BC317-BD317</f>
        <v>240</v>
      </c>
      <c r="BG317" s="15" t="s">
        <v>4420</v>
      </c>
      <c r="BH317" s="310" t="s">
        <v>4465</v>
      </c>
      <c r="BI317" s="310" t="s">
        <v>4465</v>
      </c>
      <c r="BJ317" s="310">
        <v>4</v>
      </c>
      <c r="BK317" s="310">
        <v>8</v>
      </c>
      <c r="BL317" s="196" t="s">
        <v>5791</v>
      </c>
      <c r="BM317" s="197" t="s">
        <v>5791</v>
      </c>
      <c r="BN317" s="197" t="s">
        <v>5791</v>
      </c>
      <c r="BO317" s="197" t="s">
        <v>5791</v>
      </c>
      <c r="BP317" s="197" t="s">
        <v>5791</v>
      </c>
      <c r="BQ317" s="197" t="s">
        <v>5791</v>
      </c>
      <c r="BR317" s="197" t="s">
        <v>5791</v>
      </c>
      <c r="BS317" s="197" t="s">
        <v>5791</v>
      </c>
      <c r="BT317" s="196" t="s">
        <v>5791</v>
      </c>
      <c r="BU317" s="197" t="s">
        <v>5791</v>
      </c>
      <c r="BV317" s="197" t="s">
        <v>5791</v>
      </c>
      <c r="BW317" s="197" t="s">
        <v>5791</v>
      </c>
      <c r="BX317" s="197" t="s">
        <v>5791</v>
      </c>
      <c r="BY317" s="197" t="s">
        <v>5791</v>
      </c>
      <c r="BZ317" s="212" t="s">
        <v>5791</v>
      </c>
      <c r="CA317" s="197" t="s">
        <v>5791</v>
      </c>
      <c r="CB317" s="197" t="s">
        <v>5791</v>
      </c>
      <c r="CC317" s="197" t="s">
        <v>5791</v>
      </c>
      <c r="CD317" s="197" t="s">
        <v>5791</v>
      </c>
      <c r="CE317" s="197" t="s">
        <v>5791</v>
      </c>
      <c r="CF317" s="212" t="s">
        <v>5791</v>
      </c>
      <c r="CG317" s="310" t="s">
        <v>4450</v>
      </c>
      <c r="CH317" s="310">
        <v>275</v>
      </c>
      <c r="CI317" s="21">
        <v>371</v>
      </c>
      <c r="CJ317" s="21">
        <v>410</v>
      </c>
      <c r="CK317" s="21">
        <f>(458+531)/2</f>
        <v>494.5</v>
      </c>
      <c r="CL317" s="68">
        <v>203000</v>
      </c>
      <c r="CM317" s="301" t="s">
        <v>4384</v>
      </c>
      <c r="CN317" s="310">
        <v>355</v>
      </c>
      <c r="CO317" s="21">
        <f>(317+373)/2</f>
        <v>345</v>
      </c>
      <c r="CP317" s="21">
        <v>470</v>
      </c>
      <c r="CQ317" s="21">
        <v>545</v>
      </c>
      <c r="CR317" s="68">
        <v>236500</v>
      </c>
      <c r="CS317" s="32" t="s">
        <v>4450</v>
      </c>
      <c r="CT317" s="46">
        <v>275</v>
      </c>
      <c r="CU317" s="21">
        <v>334</v>
      </c>
      <c r="CV317" s="46">
        <v>410</v>
      </c>
      <c r="CW317" s="21">
        <v>413</v>
      </c>
      <c r="CX317" s="61">
        <v>235000</v>
      </c>
      <c r="CY317" s="201" t="s">
        <v>5791</v>
      </c>
      <c r="CZ317" s="202" t="s">
        <v>5791</v>
      </c>
      <c r="DA317" s="202" t="s">
        <v>5791</v>
      </c>
      <c r="DB317" s="203" t="s">
        <v>5791</v>
      </c>
      <c r="DC317" s="201" t="s">
        <v>5791</v>
      </c>
      <c r="DD317" s="202" t="s">
        <v>5791</v>
      </c>
      <c r="DE317" s="203" t="s">
        <v>5791</v>
      </c>
      <c r="DF317" s="274" t="s">
        <v>5791</v>
      </c>
      <c r="DG317" s="310">
        <v>8.8000000000000007</v>
      </c>
      <c r="DH317" s="310">
        <v>640</v>
      </c>
      <c r="DI317" s="32">
        <v>730</v>
      </c>
      <c r="DJ317" s="310">
        <v>800</v>
      </c>
      <c r="DK317" s="32">
        <v>940</v>
      </c>
      <c r="DL317" s="60">
        <v>200000</v>
      </c>
      <c r="DM317" s="29" t="s">
        <v>6047</v>
      </c>
      <c r="DN317" s="310" t="s">
        <v>6053</v>
      </c>
      <c r="DO317" s="306" t="s">
        <v>6045</v>
      </c>
    </row>
    <row r="318" spans="1:119" ht="16.2" thickBot="1">
      <c r="A318" s="301">
        <v>313</v>
      </c>
      <c r="B318" s="350"/>
      <c r="C318" s="350"/>
      <c r="D318" s="371"/>
      <c r="E318" s="372"/>
      <c r="F318" s="350"/>
      <c r="G318" s="370"/>
      <c r="H318" s="370"/>
      <c r="I318" s="370"/>
      <c r="J318" s="286" t="s">
        <v>4569</v>
      </c>
      <c r="K318" s="301" t="s">
        <v>4383</v>
      </c>
      <c r="L318" s="310" t="s">
        <v>5791</v>
      </c>
      <c r="M318" s="301" t="s">
        <v>4508</v>
      </c>
      <c r="N318" s="310" t="s">
        <v>4702</v>
      </c>
      <c r="O318" s="18" t="s">
        <v>4506</v>
      </c>
      <c r="P318" s="310" t="s">
        <v>6317</v>
      </c>
      <c r="Q318" s="310" t="s">
        <v>4420</v>
      </c>
      <c r="R318" s="310" t="s">
        <v>4420</v>
      </c>
      <c r="S318" s="310" t="s">
        <v>5791</v>
      </c>
      <c r="T318" s="59" t="s">
        <v>4420</v>
      </c>
      <c r="U318" s="59" t="s">
        <v>5791</v>
      </c>
      <c r="V318" s="59" t="s">
        <v>4420</v>
      </c>
      <c r="W318" s="59" t="s">
        <v>5791</v>
      </c>
      <c r="X318" s="310" t="s">
        <v>4420</v>
      </c>
      <c r="Y318" s="310" t="s">
        <v>5791</v>
      </c>
      <c r="Z318" s="310" t="s">
        <v>6046</v>
      </c>
      <c r="AA318" s="18">
        <v>10</v>
      </c>
      <c r="AB318" s="223">
        <v>0</v>
      </c>
      <c r="AC318" s="18">
        <v>0</v>
      </c>
      <c r="AD318" s="301" t="s">
        <v>4353</v>
      </c>
      <c r="AE318" s="21">
        <f>INDEX('[2]Cross-Section Database'!$C$2:$V$2928,MATCH(AD318,'[2]Cross-Section Database'!$B$2:$B$2928,0),3)</f>
        <v>314.5</v>
      </c>
      <c r="AF318" s="21">
        <f>INDEX('[2]Cross-Section Database'!$C$2:$V$2928,MATCH(AD318,'[2]Cross-Section Database'!$B$2:$B$2928,0),4)</f>
        <v>307.39999999999998</v>
      </c>
      <c r="AG318" s="21">
        <f>INDEX('[2]Cross-Section Database'!$C$2:$V$2928,MATCH(AD318,'[2]Cross-Section Database'!$B$2:$B$2928,0),6)</f>
        <v>18.7</v>
      </c>
      <c r="AH318" s="21">
        <f>INDEX('[2]Cross-Section Database'!$C$2:$V$2928,MATCH(AD318,'[2]Cross-Section Database'!$B$2:$B$2928,0),5)</f>
        <v>12</v>
      </c>
      <c r="AI318" s="21">
        <v>3000</v>
      </c>
      <c r="AJ318" s="301" t="s">
        <v>4804</v>
      </c>
      <c r="AK318" s="21">
        <v>600</v>
      </c>
      <c r="AL318" s="21">
        <v>200</v>
      </c>
      <c r="AM318" s="21">
        <v>16</v>
      </c>
      <c r="AN318" s="21">
        <v>6</v>
      </c>
      <c r="AO318" s="21">
        <v>1300</v>
      </c>
      <c r="AP318" s="23">
        <f>AL318*AK318^3/12-(AL318-AN318)*(AK318-2*AM318)^3/12</f>
        <v>637451349.33333349</v>
      </c>
      <c r="AQ318" s="25">
        <f>AL318*AK318^2/4-(AL318-AN318)*(AK318-2*AM318)^2/4</f>
        <v>2352736</v>
      </c>
      <c r="AR318" s="21">
        <v>12</v>
      </c>
      <c r="AS318" s="21">
        <v>200</v>
      </c>
      <c r="AT318" s="21">
        <v>650</v>
      </c>
      <c r="AU318" s="21">
        <f t="shared" si="167"/>
        <v>25</v>
      </c>
      <c r="AV318" s="21">
        <f t="shared" si="162"/>
        <v>25</v>
      </c>
      <c r="AW318" s="301" t="s">
        <v>5806</v>
      </c>
      <c r="AX318" s="310" t="s">
        <v>6129</v>
      </c>
      <c r="AY318" s="21" t="s">
        <v>6129</v>
      </c>
      <c r="AZ318" s="310">
        <v>20</v>
      </c>
      <c r="BA318" s="310">
        <f t="shared" si="160"/>
        <v>245</v>
      </c>
      <c r="BB318" s="21">
        <v>85</v>
      </c>
      <c r="BC318" s="21">
        <f t="shared" si="165"/>
        <v>85</v>
      </c>
      <c r="BD318" s="21">
        <v>90</v>
      </c>
      <c r="BE318" s="21">
        <v>90</v>
      </c>
      <c r="BF318" s="21">
        <f>AT318-BB318-BC318-BD318</f>
        <v>390</v>
      </c>
      <c r="BG318" s="15" t="s">
        <v>4420</v>
      </c>
      <c r="BH318" s="310" t="s">
        <v>4465</v>
      </c>
      <c r="BI318" s="310" t="s">
        <v>4465</v>
      </c>
      <c r="BJ318" s="310">
        <v>4</v>
      </c>
      <c r="BK318" s="310">
        <v>8</v>
      </c>
      <c r="BL318" s="196" t="s">
        <v>5791</v>
      </c>
      <c r="BM318" s="197" t="s">
        <v>5791</v>
      </c>
      <c r="BN318" s="197" t="s">
        <v>5791</v>
      </c>
      <c r="BO318" s="197" t="s">
        <v>5791</v>
      </c>
      <c r="BP318" s="197" t="s">
        <v>5791</v>
      </c>
      <c r="BQ318" s="197" t="s">
        <v>5791</v>
      </c>
      <c r="BR318" s="197" t="s">
        <v>5791</v>
      </c>
      <c r="BS318" s="197" t="s">
        <v>5791</v>
      </c>
      <c r="BT318" s="196" t="s">
        <v>5791</v>
      </c>
      <c r="BU318" s="197" t="s">
        <v>5791</v>
      </c>
      <c r="BV318" s="197" t="s">
        <v>5791</v>
      </c>
      <c r="BW318" s="197" t="s">
        <v>5791</v>
      </c>
      <c r="BX318" s="197" t="s">
        <v>5791</v>
      </c>
      <c r="BY318" s="197" t="s">
        <v>5791</v>
      </c>
      <c r="BZ318" s="212" t="s">
        <v>5791</v>
      </c>
      <c r="CA318" s="197" t="s">
        <v>5791</v>
      </c>
      <c r="CB318" s="197" t="s">
        <v>5791</v>
      </c>
      <c r="CC318" s="197" t="s">
        <v>5791</v>
      </c>
      <c r="CD318" s="197" t="s">
        <v>5791</v>
      </c>
      <c r="CE318" s="197" t="s">
        <v>5791</v>
      </c>
      <c r="CF318" s="212" t="s">
        <v>5791</v>
      </c>
      <c r="CG318" s="310" t="s">
        <v>4450</v>
      </c>
      <c r="CH318" s="310">
        <v>275</v>
      </c>
      <c r="CI318" s="21">
        <v>371</v>
      </c>
      <c r="CJ318" s="21">
        <v>410</v>
      </c>
      <c r="CK318" s="21">
        <f>(458+531)/2</f>
        <v>494.5</v>
      </c>
      <c r="CL318" s="68">
        <v>203000</v>
      </c>
      <c r="CM318" s="301" t="s">
        <v>4384</v>
      </c>
      <c r="CN318" s="310">
        <v>355</v>
      </c>
      <c r="CO318" s="21">
        <f>(317+373)/2</f>
        <v>345</v>
      </c>
      <c r="CP318" s="21">
        <v>470</v>
      </c>
      <c r="CQ318" s="21">
        <v>545</v>
      </c>
      <c r="CR318" s="68">
        <v>236500</v>
      </c>
      <c r="CS318" s="32" t="s">
        <v>4450</v>
      </c>
      <c r="CT318" s="46">
        <v>275</v>
      </c>
      <c r="CU318" s="21">
        <v>334</v>
      </c>
      <c r="CV318" s="46">
        <v>410</v>
      </c>
      <c r="CW318" s="21">
        <v>413</v>
      </c>
      <c r="CX318" s="61">
        <v>235000</v>
      </c>
      <c r="CY318" s="201" t="s">
        <v>5791</v>
      </c>
      <c r="CZ318" s="202" t="s">
        <v>5791</v>
      </c>
      <c r="DA318" s="202" t="s">
        <v>5791</v>
      </c>
      <c r="DB318" s="203" t="s">
        <v>5791</v>
      </c>
      <c r="DC318" s="201" t="s">
        <v>5791</v>
      </c>
      <c r="DD318" s="202" t="s">
        <v>5791</v>
      </c>
      <c r="DE318" s="203" t="s">
        <v>5791</v>
      </c>
      <c r="DF318" s="274" t="s">
        <v>5791</v>
      </c>
      <c r="DG318" s="310">
        <v>8.8000000000000007</v>
      </c>
      <c r="DH318" s="310">
        <v>640</v>
      </c>
      <c r="DI318" s="32">
        <v>730</v>
      </c>
      <c r="DJ318" s="310">
        <v>800</v>
      </c>
      <c r="DK318" s="32">
        <v>940</v>
      </c>
      <c r="DL318" s="60">
        <v>200000</v>
      </c>
      <c r="DM318" s="29" t="s">
        <v>5831</v>
      </c>
      <c r="DN318" s="310" t="s">
        <v>6053</v>
      </c>
      <c r="DO318" s="306" t="s">
        <v>6045</v>
      </c>
    </row>
    <row r="319" spans="1:119" ht="15.6" customHeight="1">
      <c r="A319" s="300">
        <v>314</v>
      </c>
      <c r="B319" s="348">
        <v>48</v>
      </c>
      <c r="C319" s="348">
        <v>2013</v>
      </c>
      <c r="D319" s="458" t="s">
        <v>5651</v>
      </c>
      <c r="E319" s="373" t="s">
        <v>5655</v>
      </c>
      <c r="F319" s="348">
        <v>7</v>
      </c>
      <c r="G319" s="368" t="s">
        <v>5912</v>
      </c>
      <c r="H319" s="368" t="s">
        <v>5901</v>
      </c>
      <c r="I319" s="368" t="s">
        <v>6251</v>
      </c>
      <c r="J319" s="284" t="s">
        <v>4511</v>
      </c>
      <c r="K319" s="300" t="s">
        <v>4383</v>
      </c>
      <c r="L319" s="309" t="s">
        <v>5791</v>
      </c>
      <c r="M319" s="300" t="s">
        <v>4508</v>
      </c>
      <c r="N319" s="309" t="s">
        <v>4702</v>
      </c>
      <c r="O319" s="17" t="s">
        <v>4506</v>
      </c>
      <c r="P319" s="309" t="s">
        <v>6317</v>
      </c>
      <c r="Q319" s="309" t="s">
        <v>4470</v>
      </c>
      <c r="R319" s="309" t="s">
        <v>4420</v>
      </c>
      <c r="S319" s="309" t="s">
        <v>5791</v>
      </c>
      <c r="T319" s="64" t="s">
        <v>4420</v>
      </c>
      <c r="U319" s="64" t="s">
        <v>5791</v>
      </c>
      <c r="V319" s="64" t="s">
        <v>4420</v>
      </c>
      <c r="W319" s="64" t="s">
        <v>5791</v>
      </c>
      <c r="X319" s="309" t="s">
        <v>4420</v>
      </c>
      <c r="Y319" s="309" t="s">
        <v>5791</v>
      </c>
      <c r="Z319" s="309" t="s">
        <v>4558</v>
      </c>
      <c r="AA319" s="87">
        <v>8</v>
      </c>
      <c r="AB319" s="232">
        <v>0</v>
      </c>
      <c r="AC319" s="17">
        <v>0</v>
      </c>
      <c r="AD319" s="300" t="s">
        <v>4729</v>
      </c>
      <c r="AE319" s="16">
        <f>INDEX('[2]Cross-Section Database'!$C$2:$V$2928,MATCH(AD319,'[2]Cross-Section Database'!$B$2:$B$2928,0),3)</f>
        <v>200</v>
      </c>
      <c r="AF319" s="16">
        <f>INDEX('[2]Cross-Section Database'!$C$2:$V$2928,MATCH(AD319,'[2]Cross-Section Database'!$B$2:$B$2928,0),4)</f>
        <v>200</v>
      </c>
      <c r="AG319" s="16">
        <f>INDEX('[2]Cross-Section Database'!$C$2:$V$2928,MATCH(AD319,'[2]Cross-Section Database'!$B$2:$B$2928,0),6)</f>
        <v>12.5</v>
      </c>
      <c r="AH319" s="16">
        <f>INDEX('[2]Cross-Section Database'!$C$2:$V$2928,MATCH(AD319,'[2]Cross-Section Database'!$B$2:$B$2928,0),5)</f>
        <v>12.5</v>
      </c>
      <c r="AI319" s="16">
        <v>1800</v>
      </c>
      <c r="AJ319" s="300" t="s">
        <v>4225</v>
      </c>
      <c r="AK319" s="16">
        <f>INDEX('[2]Cross-Section Database'!$C$2:$V$2928,MATCH(AJ319,'[2]Cross-Section Database'!$B$2:$B$2928,0),3)</f>
        <v>363.4</v>
      </c>
      <c r="AL319" s="16">
        <f>INDEX('[2]Cross-Section Database'!$C$2:$V$2928,MATCH(AJ319,'[2]Cross-Section Database'!$B$2:$B$2928,0),4)</f>
        <v>173.2</v>
      </c>
      <c r="AM319" s="16">
        <f>INDEX('[2]Cross-Section Database'!$C$2:$V$2928,MATCH(AJ319,'[2]Cross-Section Database'!$B$2:$B$2928,0),6)</f>
        <v>15.7</v>
      </c>
      <c r="AN319" s="16">
        <f>INDEX('[2]Cross-Section Database'!$C$2:$V$2928,MATCH(AJ319,'[2]Cross-Section Database'!$B$2:$B$2928,0),5)</f>
        <v>9.1</v>
      </c>
      <c r="AO319" s="16">
        <v>1000</v>
      </c>
      <c r="AP319" s="21">
        <f>INDEX('[2]Cross-Section Database'!$C$2:$V$3928,MATCH(AJ319,'[2]Cross-Section Database'!$B$2:$B$3928,0),11)</f>
        <v>194600000</v>
      </c>
      <c r="AQ319" s="24">
        <f>INDEX('[2]Cross-Section Database'!$C$2:$V$3928,MATCH(AJ319,'[2]Cross-Section Database'!$B$2:$B$3928,0),12)</f>
        <v>1211000</v>
      </c>
      <c r="AR319" s="16">
        <v>25</v>
      </c>
      <c r="AS319" s="16">
        <v>220</v>
      </c>
      <c r="AT319" s="16">
        <v>404</v>
      </c>
      <c r="AU319" s="16">
        <f t="shared" si="167"/>
        <v>20.300000000000011</v>
      </c>
      <c r="AV319" s="16">
        <f t="shared" si="162"/>
        <v>20.300000000000011</v>
      </c>
      <c r="AW319" s="300" t="s">
        <v>5652</v>
      </c>
      <c r="AX319" s="30" t="s">
        <v>5657</v>
      </c>
      <c r="AY319" s="31">
        <v>57.192744999999995</v>
      </c>
      <c r="AZ319" s="309">
        <v>16</v>
      </c>
      <c r="BA319" s="309">
        <f t="shared" si="160"/>
        <v>157</v>
      </c>
      <c r="BB319" s="16">
        <f>50+AM319+AU319</f>
        <v>86.000000000000014</v>
      </c>
      <c r="BC319" s="16">
        <f>AT319-BB319-2*BD319</f>
        <v>118</v>
      </c>
      <c r="BD319" s="16">
        <v>100</v>
      </c>
      <c r="BE319" s="16">
        <v>120</v>
      </c>
      <c r="BF319" s="16">
        <v>0</v>
      </c>
      <c r="BG319" s="22" t="s">
        <v>4470</v>
      </c>
      <c r="BH319" s="309" t="s">
        <v>6204</v>
      </c>
      <c r="BI319" s="309" t="s">
        <v>6204</v>
      </c>
      <c r="BJ319" s="309">
        <v>2</v>
      </c>
      <c r="BK319" s="17">
        <v>6</v>
      </c>
      <c r="BL319" s="194" t="s">
        <v>5791</v>
      </c>
      <c r="BM319" s="195" t="s">
        <v>5791</v>
      </c>
      <c r="BN319" s="195" t="s">
        <v>5791</v>
      </c>
      <c r="BO319" s="195" t="s">
        <v>5791</v>
      </c>
      <c r="BP319" s="195" t="s">
        <v>5791</v>
      </c>
      <c r="BQ319" s="195" t="s">
        <v>5791</v>
      </c>
      <c r="BR319" s="195" t="s">
        <v>5791</v>
      </c>
      <c r="BS319" s="195" t="s">
        <v>5791</v>
      </c>
      <c r="BT319" s="194" t="s">
        <v>5791</v>
      </c>
      <c r="BU319" s="195" t="s">
        <v>5791</v>
      </c>
      <c r="BV319" s="195" t="s">
        <v>5791</v>
      </c>
      <c r="BW319" s="195" t="s">
        <v>5791</v>
      </c>
      <c r="BX319" s="195" t="s">
        <v>5791</v>
      </c>
      <c r="BY319" s="195" t="s">
        <v>5791</v>
      </c>
      <c r="BZ319" s="213" t="s">
        <v>5791</v>
      </c>
      <c r="CA319" s="195" t="s">
        <v>5791</v>
      </c>
      <c r="CB319" s="195" t="s">
        <v>5791</v>
      </c>
      <c r="CC319" s="195" t="s">
        <v>5791</v>
      </c>
      <c r="CD319" s="195" t="s">
        <v>5791</v>
      </c>
      <c r="CE319" s="195" t="s">
        <v>5791</v>
      </c>
      <c r="CF319" s="213" t="s">
        <v>5791</v>
      </c>
      <c r="CG319" s="300" t="s">
        <v>4384</v>
      </c>
      <c r="CH319" s="309">
        <v>355</v>
      </c>
      <c r="CI319" s="16">
        <v>437</v>
      </c>
      <c r="CJ319" s="16">
        <v>470</v>
      </c>
      <c r="CK319" s="16">
        <v>507</v>
      </c>
      <c r="CL319" s="80">
        <v>205000</v>
      </c>
      <c r="CM319" s="300" t="s">
        <v>4384</v>
      </c>
      <c r="CN319" s="309">
        <v>355</v>
      </c>
      <c r="CO319" s="16">
        <v>394</v>
      </c>
      <c r="CP319" s="16">
        <v>470</v>
      </c>
      <c r="CQ319" s="16">
        <v>501</v>
      </c>
      <c r="CR319" s="80">
        <v>205000</v>
      </c>
      <c r="CS319" s="30" t="s">
        <v>4384</v>
      </c>
      <c r="CT319" s="309">
        <v>355</v>
      </c>
      <c r="CU319" s="16">
        <f>1.1*CT319</f>
        <v>390.50000000000006</v>
      </c>
      <c r="CV319" s="16">
        <v>470</v>
      </c>
      <c r="CW319" s="16">
        <f>1.1*CV319</f>
        <v>517</v>
      </c>
      <c r="CX319" s="60">
        <v>200000</v>
      </c>
      <c r="CY319" s="300" t="s">
        <v>5653</v>
      </c>
      <c r="CZ319" s="16">
        <v>40</v>
      </c>
      <c r="DA319" s="31">
        <v>2.5</v>
      </c>
      <c r="DB319" s="65">
        <v>35000</v>
      </c>
      <c r="DC319" s="198" t="s">
        <v>5791</v>
      </c>
      <c r="DD319" s="199" t="s">
        <v>5791</v>
      </c>
      <c r="DE319" s="200" t="s">
        <v>5791</v>
      </c>
      <c r="DF319" s="273" t="s">
        <v>5791</v>
      </c>
      <c r="DG319" s="309">
        <v>8.8000000000000007</v>
      </c>
      <c r="DH319" s="309">
        <v>640</v>
      </c>
      <c r="DI319" s="309">
        <v>752</v>
      </c>
      <c r="DJ319" s="309">
        <v>800</v>
      </c>
      <c r="DK319" s="309">
        <v>987</v>
      </c>
      <c r="DL319" s="93">
        <v>205000</v>
      </c>
      <c r="DM319" s="28" t="s">
        <v>5656</v>
      </c>
      <c r="DN319" s="309" t="s">
        <v>4435</v>
      </c>
      <c r="DO319" s="305" t="s">
        <v>4565</v>
      </c>
    </row>
    <row r="320" spans="1:119" ht="15.6" customHeight="1">
      <c r="A320" s="301">
        <v>315</v>
      </c>
      <c r="B320" s="349"/>
      <c r="C320" s="349"/>
      <c r="D320" s="459"/>
      <c r="E320" s="374"/>
      <c r="F320" s="349"/>
      <c r="G320" s="369"/>
      <c r="H320" s="369"/>
      <c r="I320" s="369"/>
      <c r="J320" s="286" t="s">
        <v>4397</v>
      </c>
      <c r="K320" s="301" t="s">
        <v>4383</v>
      </c>
      <c r="L320" s="310" t="s">
        <v>5791</v>
      </c>
      <c r="M320" s="301" t="s">
        <v>4508</v>
      </c>
      <c r="N320" s="310" t="s">
        <v>4702</v>
      </c>
      <c r="O320" s="18" t="s">
        <v>4506</v>
      </c>
      <c r="P320" s="310" t="s">
        <v>6317</v>
      </c>
      <c r="Q320" s="310" t="s">
        <v>4470</v>
      </c>
      <c r="R320" s="310" t="s">
        <v>4420</v>
      </c>
      <c r="S320" s="310" t="s">
        <v>5791</v>
      </c>
      <c r="T320" s="59" t="s">
        <v>4420</v>
      </c>
      <c r="U320" s="59" t="s">
        <v>5791</v>
      </c>
      <c r="V320" s="59" t="s">
        <v>4420</v>
      </c>
      <c r="W320" s="59" t="s">
        <v>5791</v>
      </c>
      <c r="X320" s="310" t="s">
        <v>4420</v>
      </c>
      <c r="Y320" s="310" t="s">
        <v>5791</v>
      </c>
      <c r="Z320" s="310" t="s">
        <v>4558</v>
      </c>
      <c r="AA320" s="72">
        <v>8</v>
      </c>
      <c r="AB320" s="223">
        <v>0</v>
      </c>
      <c r="AC320" s="18">
        <v>0</v>
      </c>
      <c r="AD320" s="301" t="s">
        <v>5487</v>
      </c>
      <c r="AE320" s="21">
        <f>INDEX('[2]Cross-Section Database'!$C$2:$V$2928,MATCH(AD320,'[2]Cross-Section Database'!$B$2:$B$2928,0),3)</f>
        <v>200</v>
      </c>
      <c r="AF320" s="21">
        <f>INDEX('[2]Cross-Section Database'!$C$2:$V$2928,MATCH(AD320,'[2]Cross-Section Database'!$B$2:$B$2928,0),4)</f>
        <v>200</v>
      </c>
      <c r="AG320" s="21">
        <f>INDEX('[2]Cross-Section Database'!$C$2:$V$2928,MATCH(AD320,'[2]Cross-Section Database'!$B$2:$B$2928,0),6)</f>
        <v>10</v>
      </c>
      <c r="AH320" s="21">
        <f>INDEX('[2]Cross-Section Database'!$C$2:$V$2928,MATCH(AD320,'[2]Cross-Section Database'!$B$2:$B$2928,0),5)</f>
        <v>10</v>
      </c>
      <c r="AI320" s="21">
        <v>1800</v>
      </c>
      <c r="AJ320" s="301" t="s">
        <v>4234</v>
      </c>
      <c r="AK320" s="21">
        <f>INDEX('[2]Cross-Section Database'!$C$2:$V$2928,MATCH(AJ320,'[2]Cross-Section Database'!$B$2:$B$2928,0),3)</f>
        <v>449.8</v>
      </c>
      <c r="AL320" s="21">
        <f>INDEX('[2]Cross-Section Database'!$C$2:$V$2928,MATCH(AJ320,'[2]Cross-Section Database'!$B$2:$B$2928,0),4)</f>
        <v>152.4</v>
      </c>
      <c r="AM320" s="21">
        <f>INDEX('[2]Cross-Section Database'!$C$2:$V$2928,MATCH(AJ320,'[2]Cross-Section Database'!$B$2:$B$2928,0),6)</f>
        <v>10.9</v>
      </c>
      <c r="AN320" s="21">
        <f>INDEX('[2]Cross-Section Database'!$C$2:$V$2928,MATCH(AJ320,'[2]Cross-Section Database'!$B$2:$B$2928,0),5)</f>
        <v>7.6</v>
      </c>
      <c r="AO320" s="21">
        <v>1000</v>
      </c>
      <c r="AP320" s="21">
        <f>INDEX('[2]Cross-Section Database'!$C$2:$V$3928,MATCH(AJ320,'[2]Cross-Section Database'!$B$2:$B$3928,0),11)</f>
        <v>213700000</v>
      </c>
      <c r="AQ320" s="24">
        <f>INDEX('[2]Cross-Section Database'!$C$2:$V$3928,MATCH(AJ320,'[2]Cross-Section Database'!$B$2:$B$3928,0),12)</f>
        <v>1096000</v>
      </c>
      <c r="AR320" s="21">
        <v>25</v>
      </c>
      <c r="AS320" s="21">
        <v>200</v>
      </c>
      <c r="AT320" s="21">
        <v>490</v>
      </c>
      <c r="AU320" s="21">
        <f t="shared" si="167"/>
        <v>20.099999999999994</v>
      </c>
      <c r="AV320" s="21">
        <f t="shared" si="162"/>
        <v>20.099999999999994</v>
      </c>
      <c r="AW320" s="301" t="s">
        <v>5652</v>
      </c>
      <c r="AX320" s="32" t="s">
        <v>5657</v>
      </c>
      <c r="AY320" s="33">
        <v>54.875424999999993</v>
      </c>
      <c r="AZ320" s="310">
        <v>16</v>
      </c>
      <c r="BA320" s="310">
        <f t="shared" si="160"/>
        <v>157</v>
      </c>
      <c r="BB320" s="21">
        <f t="shared" ref="BB320:BB325" si="168">50+AM320+AU320</f>
        <v>81</v>
      </c>
      <c r="BC320" s="21">
        <f>AT320-BB320-2*BD320</f>
        <v>129</v>
      </c>
      <c r="BD320" s="21">
        <v>140</v>
      </c>
      <c r="BE320" s="21">
        <v>120</v>
      </c>
      <c r="BF320" s="21">
        <v>0</v>
      </c>
      <c r="BG320" s="15" t="s">
        <v>4470</v>
      </c>
      <c r="BH320" s="310" t="s">
        <v>6204</v>
      </c>
      <c r="BI320" s="310" t="s">
        <v>6204</v>
      </c>
      <c r="BJ320" s="310">
        <v>2</v>
      </c>
      <c r="BK320" s="18">
        <v>6</v>
      </c>
      <c r="BL320" s="196" t="s">
        <v>5791</v>
      </c>
      <c r="BM320" s="197" t="s">
        <v>5791</v>
      </c>
      <c r="BN320" s="197" t="s">
        <v>5791</v>
      </c>
      <c r="BO320" s="197" t="s">
        <v>5791</v>
      </c>
      <c r="BP320" s="197" t="s">
        <v>5791</v>
      </c>
      <c r="BQ320" s="197" t="s">
        <v>5791</v>
      </c>
      <c r="BR320" s="197" t="s">
        <v>5791</v>
      </c>
      <c r="BS320" s="197" t="s">
        <v>5791</v>
      </c>
      <c r="BT320" s="196" t="s">
        <v>5791</v>
      </c>
      <c r="BU320" s="197" t="s">
        <v>5791</v>
      </c>
      <c r="BV320" s="197" t="s">
        <v>5791</v>
      </c>
      <c r="BW320" s="197" t="s">
        <v>5791</v>
      </c>
      <c r="BX320" s="197" t="s">
        <v>5791</v>
      </c>
      <c r="BY320" s="197" t="s">
        <v>5791</v>
      </c>
      <c r="BZ320" s="212" t="s">
        <v>5791</v>
      </c>
      <c r="CA320" s="197" t="s">
        <v>5791</v>
      </c>
      <c r="CB320" s="197" t="s">
        <v>5791</v>
      </c>
      <c r="CC320" s="197" t="s">
        <v>5791</v>
      </c>
      <c r="CD320" s="197" t="s">
        <v>5791</v>
      </c>
      <c r="CE320" s="197" t="s">
        <v>5791</v>
      </c>
      <c r="CF320" s="212" t="s">
        <v>5791</v>
      </c>
      <c r="CG320" s="301" t="s">
        <v>4384</v>
      </c>
      <c r="CH320" s="310">
        <v>355</v>
      </c>
      <c r="CI320" s="21">
        <v>440</v>
      </c>
      <c r="CJ320" s="21">
        <v>470</v>
      </c>
      <c r="CK320" s="21">
        <v>517</v>
      </c>
      <c r="CL320" s="68">
        <v>205000</v>
      </c>
      <c r="CM320" s="301" t="s">
        <v>4384</v>
      </c>
      <c r="CN320" s="310">
        <v>355</v>
      </c>
      <c r="CO320" s="21">
        <v>385</v>
      </c>
      <c r="CP320" s="21">
        <v>470</v>
      </c>
      <c r="CQ320" s="21">
        <v>495</v>
      </c>
      <c r="CR320" s="68">
        <v>201000</v>
      </c>
      <c r="CS320" s="32" t="s">
        <v>4384</v>
      </c>
      <c r="CT320" s="310">
        <v>355</v>
      </c>
      <c r="CU320" s="21">
        <f t="shared" ref="CU320:CW325" si="169">1.1*CT320</f>
        <v>390.50000000000006</v>
      </c>
      <c r="CV320" s="21">
        <v>470</v>
      </c>
      <c r="CW320" s="21">
        <f t="shared" si="169"/>
        <v>517</v>
      </c>
      <c r="CX320" s="60">
        <v>200000</v>
      </c>
      <c r="CY320" s="301" t="s">
        <v>5653</v>
      </c>
      <c r="CZ320" s="21">
        <v>45</v>
      </c>
      <c r="DA320" s="33">
        <v>2.5</v>
      </c>
      <c r="DB320" s="66">
        <v>35000</v>
      </c>
      <c r="DC320" s="201" t="s">
        <v>5791</v>
      </c>
      <c r="DD320" s="202" t="s">
        <v>5791</v>
      </c>
      <c r="DE320" s="203" t="s">
        <v>5791</v>
      </c>
      <c r="DF320" s="274" t="s">
        <v>5791</v>
      </c>
      <c r="DG320" s="310">
        <v>8.8000000000000007</v>
      </c>
      <c r="DH320" s="310">
        <v>640</v>
      </c>
      <c r="DI320" s="310">
        <v>752</v>
      </c>
      <c r="DJ320" s="310">
        <v>800</v>
      </c>
      <c r="DK320" s="310">
        <v>987</v>
      </c>
      <c r="DL320" s="96">
        <v>205000</v>
      </c>
      <c r="DM320" s="29" t="s">
        <v>5656</v>
      </c>
      <c r="DN320" s="310" t="s">
        <v>4435</v>
      </c>
      <c r="DO320" s="306" t="s">
        <v>4565</v>
      </c>
    </row>
    <row r="321" spans="1:119" ht="15.6" customHeight="1">
      <c r="A321" s="301">
        <v>316</v>
      </c>
      <c r="B321" s="349"/>
      <c r="C321" s="349"/>
      <c r="D321" s="459"/>
      <c r="E321" s="374"/>
      <c r="F321" s="349"/>
      <c r="G321" s="369"/>
      <c r="H321" s="369"/>
      <c r="I321" s="369"/>
      <c r="J321" s="286" t="s">
        <v>4399</v>
      </c>
      <c r="K321" s="301" t="s">
        <v>4383</v>
      </c>
      <c r="L321" s="310" t="s">
        <v>5791</v>
      </c>
      <c r="M321" s="301" t="s">
        <v>4508</v>
      </c>
      <c r="N321" s="310" t="s">
        <v>4702</v>
      </c>
      <c r="O321" s="18" t="s">
        <v>4506</v>
      </c>
      <c r="P321" s="310" t="s">
        <v>6317</v>
      </c>
      <c r="Q321" s="310" t="s">
        <v>4470</v>
      </c>
      <c r="R321" s="310" t="s">
        <v>4420</v>
      </c>
      <c r="S321" s="310" t="s">
        <v>5791</v>
      </c>
      <c r="T321" s="59" t="s">
        <v>4420</v>
      </c>
      <c r="U321" s="59" t="s">
        <v>5791</v>
      </c>
      <c r="V321" s="59" t="s">
        <v>4420</v>
      </c>
      <c r="W321" s="59" t="s">
        <v>5791</v>
      </c>
      <c r="X321" s="310" t="s">
        <v>4420</v>
      </c>
      <c r="Y321" s="310" t="s">
        <v>5791</v>
      </c>
      <c r="Z321" s="310" t="s">
        <v>4558</v>
      </c>
      <c r="AA321" s="72">
        <v>8</v>
      </c>
      <c r="AB321" s="223">
        <v>0</v>
      </c>
      <c r="AC321" s="18">
        <v>0</v>
      </c>
      <c r="AD321" s="301" t="s">
        <v>4646</v>
      </c>
      <c r="AE321" s="21">
        <f>INDEX('[2]Cross-Section Database'!$C$2:$V$2928,MATCH(AD321,'[2]Cross-Section Database'!$B$2:$B$2928,0),3)</f>
        <v>200</v>
      </c>
      <c r="AF321" s="21">
        <f>INDEX('[2]Cross-Section Database'!$C$2:$V$2928,MATCH(AD321,'[2]Cross-Section Database'!$B$2:$B$2928,0),4)</f>
        <v>200</v>
      </c>
      <c r="AG321" s="21">
        <f>INDEX('[2]Cross-Section Database'!$C$2:$V$2928,MATCH(AD321,'[2]Cross-Section Database'!$B$2:$B$2928,0),6)</f>
        <v>8</v>
      </c>
      <c r="AH321" s="21">
        <f>INDEX('[2]Cross-Section Database'!$C$2:$V$2928,MATCH(AD321,'[2]Cross-Section Database'!$B$2:$B$2928,0),5)</f>
        <v>8</v>
      </c>
      <c r="AI321" s="21">
        <v>1800</v>
      </c>
      <c r="AJ321" s="301" t="s">
        <v>4234</v>
      </c>
      <c r="AK321" s="21">
        <f>INDEX('[2]Cross-Section Database'!$C$2:$V$2928,MATCH(AJ321,'[2]Cross-Section Database'!$B$2:$B$2928,0),3)</f>
        <v>449.8</v>
      </c>
      <c r="AL321" s="21">
        <f>INDEX('[2]Cross-Section Database'!$C$2:$V$2928,MATCH(AJ321,'[2]Cross-Section Database'!$B$2:$B$2928,0),4)</f>
        <v>152.4</v>
      </c>
      <c r="AM321" s="21">
        <f>INDEX('[2]Cross-Section Database'!$C$2:$V$2928,MATCH(AJ321,'[2]Cross-Section Database'!$B$2:$B$2928,0),6)</f>
        <v>10.9</v>
      </c>
      <c r="AN321" s="21">
        <f>INDEX('[2]Cross-Section Database'!$C$2:$V$2928,MATCH(AJ321,'[2]Cross-Section Database'!$B$2:$B$2928,0),5)</f>
        <v>7.6</v>
      </c>
      <c r="AO321" s="21">
        <v>1000</v>
      </c>
      <c r="AP321" s="21">
        <f>INDEX('[2]Cross-Section Database'!$C$2:$V$3928,MATCH(AJ321,'[2]Cross-Section Database'!$B$2:$B$3928,0),11)</f>
        <v>213700000</v>
      </c>
      <c r="AQ321" s="24">
        <f>INDEX('[2]Cross-Section Database'!$C$2:$V$3928,MATCH(AJ321,'[2]Cross-Section Database'!$B$2:$B$3928,0),12)</f>
        <v>1096000</v>
      </c>
      <c r="AR321" s="21">
        <v>25</v>
      </c>
      <c r="AS321" s="21">
        <v>200</v>
      </c>
      <c r="AT321" s="21">
        <v>490</v>
      </c>
      <c r="AU321" s="21">
        <f t="shared" si="167"/>
        <v>20.099999999999994</v>
      </c>
      <c r="AV321" s="21">
        <f t="shared" si="162"/>
        <v>20.099999999999994</v>
      </c>
      <c r="AW321" s="301" t="s">
        <v>5652</v>
      </c>
      <c r="AX321" s="32" t="s">
        <v>5657</v>
      </c>
      <c r="AY321" s="33">
        <v>54.714500000000001</v>
      </c>
      <c r="AZ321" s="310">
        <v>16</v>
      </c>
      <c r="BA321" s="310">
        <f t="shared" si="160"/>
        <v>157</v>
      </c>
      <c r="BB321" s="21">
        <f t="shared" si="168"/>
        <v>81</v>
      </c>
      <c r="BC321" s="21">
        <f t="shared" ref="BC321:BC325" si="170">AT321-BB321-2*BD321</f>
        <v>129</v>
      </c>
      <c r="BD321" s="21">
        <v>140</v>
      </c>
      <c r="BE321" s="21">
        <v>120</v>
      </c>
      <c r="BF321" s="21">
        <v>0</v>
      </c>
      <c r="BG321" s="15" t="s">
        <v>4470</v>
      </c>
      <c r="BH321" s="310" t="s">
        <v>6204</v>
      </c>
      <c r="BI321" s="310" t="s">
        <v>6204</v>
      </c>
      <c r="BJ321" s="310">
        <v>2</v>
      </c>
      <c r="BK321" s="18">
        <v>6</v>
      </c>
      <c r="BL321" s="196" t="s">
        <v>5791</v>
      </c>
      <c r="BM321" s="197" t="s">
        <v>5791</v>
      </c>
      <c r="BN321" s="197" t="s">
        <v>5791</v>
      </c>
      <c r="BO321" s="197" t="s">
        <v>5791</v>
      </c>
      <c r="BP321" s="197" t="s">
        <v>5791</v>
      </c>
      <c r="BQ321" s="197" t="s">
        <v>5791</v>
      </c>
      <c r="BR321" s="197" t="s">
        <v>5791</v>
      </c>
      <c r="BS321" s="197" t="s">
        <v>5791</v>
      </c>
      <c r="BT321" s="196" t="s">
        <v>5791</v>
      </c>
      <c r="BU321" s="197" t="s">
        <v>5791</v>
      </c>
      <c r="BV321" s="197" t="s">
        <v>5791</v>
      </c>
      <c r="BW321" s="197" t="s">
        <v>5791</v>
      </c>
      <c r="BX321" s="197" t="s">
        <v>5791</v>
      </c>
      <c r="BY321" s="197" t="s">
        <v>5791</v>
      </c>
      <c r="BZ321" s="212" t="s">
        <v>5791</v>
      </c>
      <c r="CA321" s="197" t="s">
        <v>5791</v>
      </c>
      <c r="CB321" s="197" t="s">
        <v>5791</v>
      </c>
      <c r="CC321" s="197" t="s">
        <v>5791</v>
      </c>
      <c r="CD321" s="197" t="s">
        <v>5791</v>
      </c>
      <c r="CE321" s="197" t="s">
        <v>5791</v>
      </c>
      <c r="CF321" s="212" t="s">
        <v>5791</v>
      </c>
      <c r="CG321" s="301" t="s">
        <v>4384</v>
      </c>
      <c r="CH321" s="310">
        <v>355</v>
      </c>
      <c r="CI321" s="21">
        <v>449</v>
      </c>
      <c r="CJ321" s="21">
        <v>470</v>
      </c>
      <c r="CK321" s="21">
        <v>520</v>
      </c>
      <c r="CL321" s="68">
        <v>199000</v>
      </c>
      <c r="CM321" s="301" t="s">
        <v>4384</v>
      </c>
      <c r="CN321" s="310">
        <v>355</v>
      </c>
      <c r="CO321" s="21">
        <v>385</v>
      </c>
      <c r="CP321" s="21">
        <v>470</v>
      </c>
      <c r="CQ321" s="21">
        <v>495</v>
      </c>
      <c r="CR321" s="68">
        <v>201000</v>
      </c>
      <c r="CS321" s="32" t="s">
        <v>4384</v>
      </c>
      <c r="CT321" s="310">
        <v>355</v>
      </c>
      <c r="CU321" s="21">
        <f t="shared" si="169"/>
        <v>390.50000000000006</v>
      </c>
      <c r="CV321" s="21">
        <v>470</v>
      </c>
      <c r="CW321" s="21">
        <f t="shared" si="169"/>
        <v>517</v>
      </c>
      <c r="CX321" s="60">
        <v>200000</v>
      </c>
      <c r="CY321" s="301" t="s">
        <v>5653</v>
      </c>
      <c r="CZ321" s="21">
        <v>39</v>
      </c>
      <c r="DA321" s="33">
        <v>2.5</v>
      </c>
      <c r="DB321" s="66">
        <v>35000</v>
      </c>
      <c r="DC321" s="201" t="s">
        <v>5791</v>
      </c>
      <c r="DD321" s="202" t="s">
        <v>5791</v>
      </c>
      <c r="DE321" s="203" t="s">
        <v>5791</v>
      </c>
      <c r="DF321" s="274" t="s">
        <v>5791</v>
      </c>
      <c r="DG321" s="310">
        <v>8.8000000000000007</v>
      </c>
      <c r="DH321" s="310">
        <v>640</v>
      </c>
      <c r="DI321" s="310">
        <v>752</v>
      </c>
      <c r="DJ321" s="310">
        <v>800</v>
      </c>
      <c r="DK321" s="310">
        <v>987</v>
      </c>
      <c r="DL321" s="96">
        <v>205000</v>
      </c>
      <c r="DM321" s="29" t="s">
        <v>5656</v>
      </c>
      <c r="DN321" s="310" t="s">
        <v>4435</v>
      </c>
      <c r="DO321" s="306" t="s">
        <v>4565</v>
      </c>
    </row>
    <row r="322" spans="1:119" ht="15.6" customHeight="1">
      <c r="A322" s="301">
        <v>317</v>
      </c>
      <c r="B322" s="349"/>
      <c r="C322" s="349"/>
      <c r="D322" s="459"/>
      <c r="E322" s="374"/>
      <c r="F322" s="349"/>
      <c r="G322" s="369"/>
      <c r="H322" s="369"/>
      <c r="I322" s="369"/>
      <c r="J322" s="286" t="s">
        <v>4400</v>
      </c>
      <c r="K322" s="301" t="s">
        <v>4383</v>
      </c>
      <c r="L322" s="310" t="s">
        <v>5791</v>
      </c>
      <c r="M322" s="301" t="s">
        <v>4508</v>
      </c>
      <c r="N322" s="310" t="s">
        <v>4702</v>
      </c>
      <c r="O322" s="18" t="s">
        <v>4506</v>
      </c>
      <c r="P322" s="310" t="s">
        <v>6317</v>
      </c>
      <c r="Q322" s="310" t="s">
        <v>4470</v>
      </c>
      <c r="R322" s="310" t="s">
        <v>4420</v>
      </c>
      <c r="S322" s="310" t="s">
        <v>5791</v>
      </c>
      <c r="T322" s="59" t="s">
        <v>4420</v>
      </c>
      <c r="U322" s="59" t="s">
        <v>5791</v>
      </c>
      <c r="V322" s="59" t="s">
        <v>4420</v>
      </c>
      <c r="W322" s="59" t="s">
        <v>5791</v>
      </c>
      <c r="X322" s="310" t="s">
        <v>4420</v>
      </c>
      <c r="Y322" s="310" t="s">
        <v>5791</v>
      </c>
      <c r="Z322" s="310" t="s">
        <v>4558</v>
      </c>
      <c r="AA322" s="72">
        <v>8</v>
      </c>
      <c r="AB322" s="223">
        <v>0</v>
      </c>
      <c r="AC322" s="18">
        <v>0</v>
      </c>
      <c r="AD322" s="301" t="s">
        <v>4646</v>
      </c>
      <c r="AE322" s="21">
        <f>INDEX('[2]Cross-Section Database'!$C$2:$V$2928,MATCH(AD322,'[2]Cross-Section Database'!$B$2:$B$2928,0),3)</f>
        <v>200</v>
      </c>
      <c r="AF322" s="21">
        <f>INDEX('[2]Cross-Section Database'!$C$2:$V$2928,MATCH(AD322,'[2]Cross-Section Database'!$B$2:$B$2928,0),4)</f>
        <v>200</v>
      </c>
      <c r="AG322" s="21">
        <f>INDEX('[2]Cross-Section Database'!$C$2:$V$2928,MATCH(AD322,'[2]Cross-Section Database'!$B$2:$B$2928,0),6)</f>
        <v>8</v>
      </c>
      <c r="AH322" s="21">
        <f>INDEX('[2]Cross-Section Database'!$C$2:$V$2928,MATCH(AD322,'[2]Cross-Section Database'!$B$2:$B$2928,0),5)</f>
        <v>8</v>
      </c>
      <c r="AI322" s="21">
        <v>1800</v>
      </c>
      <c r="AJ322" s="301" t="s">
        <v>4225</v>
      </c>
      <c r="AK322" s="21">
        <f>INDEX('[2]Cross-Section Database'!$C$2:$V$2928,MATCH(AJ322,'[2]Cross-Section Database'!$B$2:$B$2928,0),3)</f>
        <v>363.4</v>
      </c>
      <c r="AL322" s="21">
        <f>INDEX('[2]Cross-Section Database'!$C$2:$V$2928,MATCH(AJ322,'[2]Cross-Section Database'!$B$2:$B$2928,0),4)</f>
        <v>173.2</v>
      </c>
      <c r="AM322" s="21">
        <f>INDEX('[2]Cross-Section Database'!$C$2:$V$2928,MATCH(AJ322,'[2]Cross-Section Database'!$B$2:$B$2928,0),6)</f>
        <v>15.7</v>
      </c>
      <c r="AN322" s="21">
        <f>INDEX('[2]Cross-Section Database'!$C$2:$V$2928,MATCH(AJ322,'[2]Cross-Section Database'!$B$2:$B$2928,0),5)</f>
        <v>9.1</v>
      </c>
      <c r="AO322" s="21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21">
        <v>25</v>
      </c>
      <c r="AS322" s="21">
        <v>220</v>
      </c>
      <c r="AT322" s="21">
        <v>404</v>
      </c>
      <c r="AU322" s="21">
        <f t="shared" si="167"/>
        <v>20.300000000000011</v>
      </c>
      <c r="AV322" s="21">
        <f t="shared" si="162"/>
        <v>20.300000000000011</v>
      </c>
      <c r="AW322" s="301" t="s">
        <v>5652</v>
      </c>
      <c r="AX322" s="32" t="s">
        <v>5657</v>
      </c>
      <c r="AY322" s="33">
        <v>57.064004999999995</v>
      </c>
      <c r="AZ322" s="310">
        <v>16</v>
      </c>
      <c r="BA322" s="310">
        <f t="shared" si="160"/>
        <v>157</v>
      </c>
      <c r="BB322" s="21">
        <f t="shared" si="168"/>
        <v>86.000000000000014</v>
      </c>
      <c r="BC322" s="21">
        <f t="shared" si="170"/>
        <v>118</v>
      </c>
      <c r="BD322" s="21">
        <v>100</v>
      </c>
      <c r="BE322" s="21">
        <v>120</v>
      </c>
      <c r="BF322" s="21">
        <v>0</v>
      </c>
      <c r="BG322" s="15" t="s">
        <v>4470</v>
      </c>
      <c r="BH322" s="310" t="s">
        <v>6204</v>
      </c>
      <c r="BI322" s="310" t="s">
        <v>6204</v>
      </c>
      <c r="BJ322" s="310">
        <v>2</v>
      </c>
      <c r="BK322" s="18">
        <v>6</v>
      </c>
      <c r="BL322" s="196" t="s">
        <v>5791</v>
      </c>
      <c r="BM322" s="197" t="s">
        <v>5791</v>
      </c>
      <c r="BN322" s="197" t="s">
        <v>5791</v>
      </c>
      <c r="BO322" s="197" t="s">
        <v>5791</v>
      </c>
      <c r="BP322" s="197" t="s">
        <v>5791</v>
      </c>
      <c r="BQ322" s="197" t="s">
        <v>5791</v>
      </c>
      <c r="BR322" s="197" t="s">
        <v>5791</v>
      </c>
      <c r="BS322" s="197" t="s">
        <v>5791</v>
      </c>
      <c r="BT322" s="196" t="s">
        <v>5791</v>
      </c>
      <c r="BU322" s="197" t="s">
        <v>5791</v>
      </c>
      <c r="BV322" s="197" t="s">
        <v>5791</v>
      </c>
      <c r="BW322" s="197" t="s">
        <v>5791</v>
      </c>
      <c r="BX322" s="197" t="s">
        <v>5791</v>
      </c>
      <c r="BY322" s="197" t="s">
        <v>5791</v>
      </c>
      <c r="BZ322" s="212" t="s">
        <v>5791</v>
      </c>
      <c r="CA322" s="197" t="s">
        <v>5791</v>
      </c>
      <c r="CB322" s="197" t="s">
        <v>5791</v>
      </c>
      <c r="CC322" s="197" t="s">
        <v>5791</v>
      </c>
      <c r="CD322" s="197" t="s">
        <v>5791</v>
      </c>
      <c r="CE322" s="197" t="s">
        <v>5791</v>
      </c>
      <c r="CF322" s="212" t="s">
        <v>5791</v>
      </c>
      <c r="CG322" s="301" t="s">
        <v>4384</v>
      </c>
      <c r="CH322" s="310">
        <v>355</v>
      </c>
      <c r="CI322" s="21">
        <v>449</v>
      </c>
      <c r="CJ322" s="21">
        <v>470</v>
      </c>
      <c r="CK322" s="21">
        <v>520</v>
      </c>
      <c r="CL322" s="68">
        <v>199000</v>
      </c>
      <c r="CM322" s="301" t="s">
        <v>4384</v>
      </c>
      <c r="CN322" s="310">
        <v>355</v>
      </c>
      <c r="CO322" s="21">
        <v>394</v>
      </c>
      <c r="CP322" s="21">
        <v>470</v>
      </c>
      <c r="CQ322" s="21">
        <v>501</v>
      </c>
      <c r="CR322" s="68">
        <v>205000</v>
      </c>
      <c r="CS322" s="32" t="s">
        <v>4384</v>
      </c>
      <c r="CT322" s="310">
        <v>355</v>
      </c>
      <c r="CU322" s="21">
        <f t="shared" si="169"/>
        <v>390.50000000000006</v>
      </c>
      <c r="CV322" s="21">
        <v>470</v>
      </c>
      <c r="CW322" s="21">
        <f t="shared" si="169"/>
        <v>517</v>
      </c>
      <c r="CX322" s="60">
        <v>200000</v>
      </c>
      <c r="CY322" s="301" t="s">
        <v>5653</v>
      </c>
      <c r="CZ322" s="21">
        <v>40</v>
      </c>
      <c r="DA322" s="33">
        <v>2.5</v>
      </c>
      <c r="DB322" s="66">
        <v>35000</v>
      </c>
      <c r="DC322" s="201" t="s">
        <v>5791</v>
      </c>
      <c r="DD322" s="202" t="s">
        <v>5791</v>
      </c>
      <c r="DE322" s="203" t="s">
        <v>5791</v>
      </c>
      <c r="DF322" s="274" t="s">
        <v>5791</v>
      </c>
      <c r="DG322" s="310">
        <v>8.8000000000000007</v>
      </c>
      <c r="DH322" s="310">
        <v>640</v>
      </c>
      <c r="DI322" s="310">
        <v>752</v>
      </c>
      <c r="DJ322" s="310">
        <v>800</v>
      </c>
      <c r="DK322" s="310">
        <v>987</v>
      </c>
      <c r="DL322" s="96">
        <v>205000</v>
      </c>
      <c r="DM322" s="29" t="s">
        <v>5656</v>
      </c>
      <c r="DN322" s="310" t="s">
        <v>4435</v>
      </c>
      <c r="DO322" s="306" t="s">
        <v>4565</v>
      </c>
    </row>
    <row r="323" spans="1:119" ht="15.6" customHeight="1">
      <c r="A323" s="301">
        <v>318</v>
      </c>
      <c r="B323" s="349"/>
      <c r="C323" s="349"/>
      <c r="D323" s="459"/>
      <c r="E323" s="374"/>
      <c r="F323" s="349"/>
      <c r="G323" s="369"/>
      <c r="H323" s="369"/>
      <c r="I323" s="369"/>
      <c r="J323" s="286" t="s">
        <v>4401</v>
      </c>
      <c r="K323" s="301" t="s">
        <v>4383</v>
      </c>
      <c r="L323" s="310" t="s">
        <v>5791</v>
      </c>
      <c r="M323" s="301" t="s">
        <v>4508</v>
      </c>
      <c r="N323" s="310" t="s">
        <v>4702</v>
      </c>
      <c r="O323" s="18" t="s">
        <v>4506</v>
      </c>
      <c r="P323" s="310" t="s">
        <v>6317</v>
      </c>
      <c r="Q323" s="310" t="s">
        <v>4470</v>
      </c>
      <c r="R323" s="310" t="s">
        <v>4420</v>
      </c>
      <c r="S323" s="310" t="s">
        <v>5791</v>
      </c>
      <c r="T323" s="59" t="s">
        <v>4420</v>
      </c>
      <c r="U323" s="59" t="s">
        <v>5791</v>
      </c>
      <c r="V323" s="59" t="s">
        <v>4420</v>
      </c>
      <c r="W323" s="59" t="s">
        <v>5791</v>
      </c>
      <c r="X323" s="310" t="s">
        <v>4420</v>
      </c>
      <c r="Y323" s="310" t="s">
        <v>5791</v>
      </c>
      <c r="Z323" s="310" t="s">
        <v>4558</v>
      </c>
      <c r="AA323" s="72">
        <v>8</v>
      </c>
      <c r="AB323" s="223">
        <v>0</v>
      </c>
      <c r="AC323" s="18">
        <v>0</v>
      </c>
      <c r="AD323" s="301" t="s">
        <v>4729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12.5</v>
      </c>
      <c r="AH323" s="21">
        <f>INDEX('[2]Cross-Section Database'!$C$2:$V$2928,MATCH(AD323,'[2]Cross-Section Database'!$B$2:$B$2928,0),5)</f>
        <v>12.5</v>
      </c>
      <c r="AI323" s="21">
        <v>1800</v>
      </c>
      <c r="AJ323" s="301" t="s">
        <v>4234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7"/>
        <v>20.099999999999994</v>
      </c>
      <c r="AV323" s="21">
        <f t="shared" si="162"/>
        <v>20.099999999999994</v>
      </c>
      <c r="AW323" s="301" t="s">
        <v>5652</v>
      </c>
      <c r="AX323" s="32" t="s">
        <v>5657</v>
      </c>
      <c r="AY323" s="33">
        <v>48.374054999999998</v>
      </c>
      <c r="AZ323" s="310">
        <v>16</v>
      </c>
      <c r="BA323" s="310">
        <f t="shared" si="160"/>
        <v>157</v>
      </c>
      <c r="BB323" s="21">
        <f t="shared" si="168"/>
        <v>81</v>
      </c>
      <c r="BC323" s="21">
        <f t="shared" si="170"/>
        <v>129</v>
      </c>
      <c r="BD323" s="21">
        <v>140</v>
      </c>
      <c r="BE323" s="21">
        <v>120</v>
      </c>
      <c r="BF323" s="21">
        <v>0</v>
      </c>
      <c r="BG323" s="15" t="s">
        <v>4470</v>
      </c>
      <c r="BH323" s="310" t="s">
        <v>6204</v>
      </c>
      <c r="BI323" s="310" t="s">
        <v>6204</v>
      </c>
      <c r="BJ323" s="310">
        <v>2</v>
      </c>
      <c r="BK323" s="18">
        <v>6</v>
      </c>
      <c r="BL323" s="196" t="s">
        <v>5791</v>
      </c>
      <c r="BM323" s="197" t="s">
        <v>5791</v>
      </c>
      <c r="BN323" s="197" t="s">
        <v>5791</v>
      </c>
      <c r="BO323" s="197" t="s">
        <v>5791</v>
      </c>
      <c r="BP323" s="197" t="s">
        <v>5791</v>
      </c>
      <c r="BQ323" s="197" t="s">
        <v>5791</v>
      </c>
      <c r="BR323" s="197" t="s">
        <v>5791</v>
      </c>
      <c r="BS323" s="197" t="s">
        <v>5791</v>
      </c>
      <c r="BT323" s="196" t="s">
        <v>5791</v>
      </c>
      <c r="BU323" s="197" t="s">
        <v>5791</v>
      </c>
      <c r="BV323" s="197" t="s">
        <v>5791</v>
      </c>
      <c r="BW323" s="197" t="s">
        <v>5791</v>
      </c>
      <c r="BX323" s="197" t="s">
        <v>5791</v>
      </c>
      <c r="BY323" s="197" t="s">
        <v>5791</v>
      </c>
      <c r="BZ323" s="212" t="s">
        <v>5791</v>
      </c>
      <c r="CA323" s="197" t="s">
        <v>5791</v>
      </c>
      <c r="CB323" s="197" t="s">
        <v>5791</v>
      </c>
      <c r="CC323" s="197" t="s">
        <v>5791</v>
      </c>
      <c r="CD323" s="197" t="s">
        <v>5791</v>
      </c>
      <c r="CE323" s="197" t="s">
        <v>5791</v>
      </c>
      <c r="CF323" s="212" t="s">
        <v>5791</v>
      </c>
      <c r="CG323" s="301" t="s">
        <v>4384</v>
      </c>
      <c r="CH323" s="310">
        <v>355</v>
      </c>
      <c r="CI323" s="21">
        <v>437</v>
      </c>
      <c r="CJ323" s="21">
        <v>470</v>
      </c>
      <c r="CK323" s="21">
        <v>507</v>
      </c>
      <c r="CL323" s="68">
        <v>205000</v>
      </c>
      <c r="CM323" s="301" t="s">
        <v>4384</v>
      </c>
      <c r="CN323" s="310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4384</v>
      </c>
      <c r="CT323" s="310">
        <v>355</v>
      </c>
      <c r="CU323" s="21">
        <f t="shared" si="169"/>
        <v>390.50000000000006</v>
      </c>
      <c r="CV323" s="21">
        <v>470</v>
      </c>
      <c r="CW323" s="21">
        <f t="shared" si="169"/>
        <v>517</v>
      </c>
      <c r="CX323" s="60">
        <v>200000</v>
      </c>
      <c r="CY323" s="301" t="s">
        <v>5653</v>
      </c>
      <c r="CZ323" s="21">
        <v>42</v>
      </c>
      <c r="DA323" s="33">
        <v>2.5</v>
      </c>
      <c r="DB323" s="66">
        <v>35000</v>
      </c>
      <c r="DC323" s="201" t="s">
        <v>5791</v>
      </c>
      <c r="DD323" s="202" t="s">
        <v>5791</v>
      </c>
      <c r="DE323" s="203" t="s">
        <v>5791</v>
      </c>
      <c r="DF323" s="274" t="s">
        <v>5791</v>
      </c>
      <c r="DG323" s="310">
        <v>8.8000000000000007</v>
      </c>
      <c r="DH323" s="310">
        <v>640</v>
      </c>
      <c r="DI323" s="310">
        <v>752</v>
      </c>
      <c r="DJ323" s="310">
        <v>800</v>
      </c>
      <c r="DK323" s="310">
        <v>987</v>
      </c>
      <c r="DL323" s="96">
        <v>205000</v>
      </c>
      <c r="DM323" s="29" t="s">
        <v>5656</v>
      </c>
      <c r="DN323" s="310" t="s">
        <v>4435</v>
      </c>
      <c r="DO323" s="306" t="s">
        <v>4565</v>
      </c>
    </row>
    <row r="324" spans="1:119">
      <c r="A324" s="301">
        <v>319</v>
      </c>
      <c r="B324" s="349"/>
      <c r="C324" s="349"/>
      <c r="D324" s="459"/>
      <c r="E324" s="374"/>
      <c r="F324" s="349"/>
      <c r="G324" s="369"/>
      <c r="H324" s="369"/>
      <c r="I324" s="369"/>
      <c r="J324" s="286" t="s">
        <v>4402</v>
      </c>
      <c r="K324" s="301" t="s">
        <v>4383</v>
      </c>
      <c r="L324" s="310" t="s">
        <v>5791</v>
      </c>
      <c r="M324" s="301" t="s">
        <v>4508</v>
      </c>
      <c r="N324" s="310" t="s">
        <v>4702</v>
      </c>
      <c r="O324" s="18" t="s">
        <v>4506</v>
      </c>
      <c r="P324" s="310" t="s">
        <v>6317</v>
      </c>
      <c r="Q324" s="310" t="s">
        <v>4470</v>
      </c>
      <c r="R324" s="310" t="s">
        <v>4420</v>
      </c>
      <c r="S324" s="310" t="s">
        <v>5791</v>
      </c>
      <c r="T324" s="59" t="s">
        <v>4420</v>
      </c>
      <c r="U324" s="59" t="s">
        <v>5791</v>
      </c>
      <c r="V324" s="59" t="s">
        <v>4420</v>
      </c>
      <c r="W324" s="59" t="s">
        <v>5791</v>
      </c>
      <c r="X324" s="310" t="s">
        <v>4420</v>
      </c>
      <c r="Y324" s="310" t="s">
        <v>5791</v>
      </c>
      <c r="Z324" s="310" t="s">
        <v>4558</v>
      </c>
      <c r="AA324" s="72">
        <v>8</v>
      </c>
      <c r="AB324" s="223">
        <v>0</v>
      </c>
      <c r="AC324" s="18">
        <v>0</v>
      </c>
      <c r="AD324" s="301" t="s">
        <v>5487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10</v>
      </c>
      <c r="AH324" s="21">
        <f>INDEX('[2]Cross-Section Database'!$C$2:$V$2928,MATCH(AD324,'[2]Cross-Section Database'!$B$2:$B$2928,0),5)</f>
        <v>10</v>
      </c>
      <c r="AI324" s="21">
        <v>1800</v>
      </c>
      <c r="AJ324" s="301" t="s">
        <v>4225</v>
      </c>
      <c r="AK324" s="21">
        <f>INDEX('[2]Cross-Section Database'!$C$2:$V$2928,MATCH(AJ324,'[2]Cross-Section Database'!$B$2:$B$2928,0),3)</f>
        <v>363.4</v>
      </c>
      <c r="AL324" s="21">
        <f>INDEX('[2]Cross-Section Database'!$C$2:$V$2928,MATCH(AJ324,'[2]Cross-Section Database'!$B$2:$B$2928,0),4)</f>
        <v>173.2</v>
      </c>
      <c r="AM324" s="21">
        <f>INDEX('[2]Cross-Section Database'!$C$2:$V$2928,MATCH(AJ324,'[2]Cross-Section Database'!$B$2:$B$2928,0),6)</f>
        <v>15.7</v>
      </c>
      <c r="AN324" s="21">
        <f>INDEX('[2]Cross-Section Database'!$C$2:$V$2928,MATCH(AJ324,'[2]Cross-Section Database'!$B$2:$B$2928,0),5)</f>
        <v>9.1</v>
      </c>
      <c r="AO324" s="21">
        <v>1000</v>
      </c>
      <c r="AP324" s="21">
        <f>INDEX('[2]Cross-Section Database'!$C$2:$V$3928,MATCH(AJ324,'[2]Cross-Section Database'!$B$2:$B$3928,0),11)</f>
        <v>194600000</v>
      </c>
      <c r="AQ324" s="24">
        <f>INDEX('[2]Cross-Section Database'!$C$2:$V$3928,MATCH(AJ324,'[2]Cross-Section Database'!$B$2:$B$3928,0),12)</f>
        <v>1211000</v>
      </c>
      <c r="AR324" s="21">
        <v>25</v>
      </c>
      <c r="AS324" s="21">
        <v>220</v>
      </c>
      <c r="AT324" s="21">
        <v>404</v>
      </c>
      <c r="AU324" s="21">
        <f t="shared" si="167"/>
        <v>20.300000000000011</v>
      </c>
      <c r="AV324" s="21">
        <f t="shared" si="162"/>
        <v>20.300000000000011</v>
      </c>
      <c r="AW324" s="301" t="s">
        <v>5652</v>
      </c>
      <c r="AX324" s="32" t="s">
        <v>5657</v>
      </c>
      <c r="AY324" s="33">
        <v>61.602090000000004</v>
      </c>
      <c r="AZ324" s="310">
        <v>16</v>
      </c>
      <c r="BA324" s="310">
        <f t="shared" si="160"/>
        <v>157</v>
      </c>
      <c r="BB324" s="21">
        <f t="shared" si="168"/>
        <v>86.000000000000014</v>
      </c>
      <c r="BC324" s="21">
        <f t="shared" si="170"/>
        <v>118</v>
      </c>
      <c r="BD324" s="21">
        <v>100</v>
      </c>
      <c r="BE324" s="21">
        <v>120</v>
      </c>
      <c r="BF324" s="21">
        <v>0</v>
      </c>
      <c r="BG324" s="15" t="s">
        <v>4470</v>
      </c>
      <c r="BH324" s="310" t="s">
        <v>6204</v>
      </c>
      <c r="BI324" s="310" t="s">
        <v>6204</v>
      </c>
      <c r="BJ324" s="310">
        <v>2</v>
      </c>
      <c r="BK324" s="18">
        <v>6</v>
      </c>
      <c r="BL324" s="196" t="s">
        <v>5791</v>
      </c>
      <c r="BM324" s="197" t="s">
        <v>5791</v>
      </c>
      <c r="BN324" s="197" t="s">
        <v>5791</v>
      </c>
      <c r="BO324" s="197" t="s">
        <v>5791</v>
      </c>
      <c r="BP324" s="197" t="s">
        <v>5791</v>
      </c>
      <c r="BQ324" s="197" t="s">
        <v>5791</v>
      </c>
      <c r="BR324" s="197" t="s">
        <v>5791</v>
      </c>
      <c r="BS324" s="197" t="s">
        <v>5791</v>
      </c>
      <c r="BT324" s="196" t="s">
        <v>5791</v>
      </c>
      <c r="BU324" s="197" t="s">
        <v>5791</v>
      </c>
      <c r="BV324" s="197" t="s">
        <v>5791</v>
      </c>
      <c r="BW324" s="197" t="s">
        <v>5791</v>
      </c>
      <c r="BX324" s="197" t="s">
        <v>5791</v>
      </c>
      <c r="BY324" s="197" t="s">
        <v>5791</v>
      </c>
      <c r="BZ324" s="212" t="s">
        <v>5791</v>
      </c>
      <c r="CA324" s="197" t="s">
        <v>5791</v>
      </c>
      <c r="CB324" s="197" t="s">
        <v>5791</v>
      </c>
      <c r="CC324" s="197" t="s">
        <v>5791</v>
      </c>
      <c r="CD324" s="197" t="s">
        <v>5791</v>
      </c>
      <c r="CE324" s="197" t="s">
        <v>5791</v>
      </c>
      <c r="CF324" s="212" t="s">
        <v>5791</v>
      </c>
      <c r="CG324" s="301" t="s">
        <v>4384</v>
      </c>
      <c r="CH324" s="310">
        <v>355</v>
      </c>
      <c r="CI324" s="21">
        <v>440</v>
      </c>
      <c r="CJ324" s="21">
        <v>470</v>
      </c>
      <c r="CK324" s="21">
        <v>517</v>
      </c>
      <c r="CL324" s="68">
        <v>205000</v>
      </c>
      <c r="CM324" s="301" t="s">
        <v>4384</v>
      </c>
      <c r="CN324" s="310">
        <v>355</v>
      </c>
      <c r="CO324" s="21">
        <v>394</v>
      </c>
      <c r="CP324" s="21">
        <v>470</v>
      </c>
      <c r="CQ324" s="21">
        <v>501</v>
      </c>
      <c r="CR324" s="68">
        <v>205000</v>
      </c>
      <c r="CS324" s="32" t="s">
        <v>4384</v>
      </c>
      <c r="CT324" s="310">
        <v>355</v>
      </c>
      <c r="CU324" s="21">
        <f t="shared" si="169"/>
        <v>390.50000000000006</v>
      </c>
      <c r="CV324" s="21">
        <v>470</v>
      </c>
      <c r="CW324" s="21">
        <f t="shared" si="169"/>
        <v>517</v>
      </c>
      <c r="CX324" s="60">
        <v>200000</v>
      </c>
      <c r="CY324" s="301" t="s">
        <v>5653</v>
      </c>
      <c r="CZ324" s="63">
        <v>40</v>
      </c>
      <c r="DA324" s="33">
        <v>2.5</v>
      </c>
      <c r="DB324" s="66">
        <v>35000</v>
      </c>
      <c r="DC324" s="201" t="s">
        <v>5791</v>
      </c>
      <c r="DD324" s="202" t="s">
        <v>5791</v>
      </c>
      <c r="DE324" s="203" t="s">
        <v>5791</v>
      </c>
      <c r="DF324" s="274" t="s">
        <v>5791</v>
      </c>
      <c r="DG324" s="310">
        <v>8.8000000000000007</v>
      </c>
      <c r="DH324" s="310">
        <v>640</v>
      </c>
      <c r="DI324" s="310">
        <v>752</v>
      </c>
      <c r="DJ324" s="310">
        <v>800</v>
      </c>
      <c r="DK324" s="310">
        <v>987</v>
      </c>
      <c r="DL324" s="96">
        <v>205000</v>
      </c>
      <c r="DM324" s="29" t="s">
        <v>5656</v>
      </c>
      <c r="DN324" s="310" t="s">
        <v>4435</v>
      </c>
      <c r="DO324" s="306" t="s">
        <v>4565</v>
      </c>
    </row>
    <row r="325" spans="1:119" ht="16.2" thickBot="1">
      <c r="A325" s="308">
        <v>320</v>
      </c>
      <c r="B325" s="350"/>
      <c r="C325" s="350"/>
      <c r="D325" s="460"/>
      <c r="E325" s="375"/>
      <c r="F325" s="350"/>
      <c r="G325" s="370"/>
      <c r="H325" s="370"/>
      <c r="I325" s="370"/>
      <c r="J325" s="285" t="s">
        <v>4403</v>
      </c>
      <c r="K325" s="308" t="s">
        <v>4383</v>
      </c>
      <c r="L325" s="311" t="s">
        <v>5791</v>
      </c>
      <c r="M325" s="308" t="s">
        <v>4508</v>
      </c>
      <c r="N325" s="311" t="s">
        <v>4702</v>
      </c>
      <c r="O325" s="14" t="s">
        <v>4506</v>
      </c>
      <c r="P325" s="311" t="s">
        <v>6317</v>
      </c>
      <c r="Q325" s="311" t="s">
        <v>4470</v>
      </c>
      <c r="R325" s="311" t="s">
        <v>4420</v>
      </c>
      <c r="S325" s="311" t="s">
        <v>5791</v>
      </c>
      <c r="T325" s="86" t="s">
        <v>4420</v>
      </c>
      <c r="U325" s="86" t="s">
        <v>5791</v>
      </c>
      <c r="V325" s="86" t="s">
        <v>4420</v>
      </c>
      <c r="W325" s="86" t="s">
        <v>5791</v>
      </c>
      <c r="X325" s="311" t="s">
        <v>4420</v>
      </c>
      <c r="Y325" s="311" t="s">
        <v>5791</v>
      </c>
      <c r="Z325" s="311" t="s">
        <v>4558</v>
      </c>
      <c r="AA325" s="117">
        <v>8</v>
      </c>
      <c r="AB325" s="228">
        <v>0</v>
      </c>
      <c r="AC325" s="14">
        <v>0</v>
      </c>
      <c r="AD325" s="308" t="s">
        <v>5487</v>
      </c>
      <c r="AE325" s="23">
        <f>INDEX('[2]Cross-Section Database'!$C$2:$V$2928,MATCH(AD325,'[2]Cross-Section Database'!$B$2:$B$2928,0),3)</f>
        <v>200</v>
      </c>
      <c r="AF325" s="23">
        <f>INDEX('[2]Cross-Section Database'!$C$2:$V$2928,MATCH(AD325,'[2]Cross-Section Database'!$B$2:$B$2928,0),4)</f>
        <v>200</v>
      </c>
      <c r="AG325" s="23">
        <f>INDEX('[2]Cross-Section Database'!$C$2:$V$2928,MATCH(AD325,'[2]Cross-Section Database'!$B$2:$B$2928,0),6)</f>
        <v>10</v>
      </c>
      <c r="AH325" s="23">
        <f>INDEX('[2]Cross-Section Database'!$C$2:$V$2928,MATCH(AD325,'[2]Cross-Section Database'!$B$2:$B$2928,0),5)</f>
        <v>10</v>
      </c>
      <c r="AI325" s="23">
        <v>1800</v>
      </c>
      <c r="AJ325" s="308" t="s">
        <v>4225</v>
      </c>
      <c r="AK325" s="23">
        <f>INDEX('[2]Cross-Section Database'!$C$2:$V$2928,MATCH(AJ325,'[2]Cross-Section Database'!$B$2:$B$2928,0),3)</f>
        <v>363.4</v>
      </c>
      <c r="AL325" s="23">
        <f>INDEX('[2]Cross-Section Database'!$C$2:$V$2928,MATCH(AJ325,'[2]Cross-Section Database'!$B$2:$B$2928,0),4)</f>
        <v>173.2</v>
      </c>
      <c r="AM325" s="23">
        <f>INDEX('[2]Cross-Section Database'!$C$2:$V$2928,MATCH(AJ325,'[2]Cross-Section Database'!$B$2:$B$2928,0),6)</f>
        <v>15.7</v>
      </c>
      <c r="AN325" s="23">
        <f>INDEX('[2]Cross-Section Database'!$C$2:$V$2928,MATCH(AJ325,'[2]Cross-Section Database'!$B$2:$B$2928,0),5)</f>
        <v>9.1</v>
      </c>
      <c r="AO325" s="23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3">
        <v>25</v>
      </c>
      <c r="AS325" s="23">
        <v>220</v>
      </c>
      <c r="AT325" s="23">
        <v>404</v>
      </c>
      <c r="AU325" s="23">
        <f t="shared" si="167"/>
        <v>20.300000000000011</v>
      </c>
      <c r="AV325" s="23">
        <f t="shared" si="162"/>
        <v>20.300000000000011</v>
      </c>
      <c r="AW325" s="308" t="s">
        <v>5652</v>
      </c>
      <c r="AX325" s="34" t="s">
        <v>5657</v>
      </c>
      <c r="AY325" s="35">
        <v>55</v>
      </c>
      <c r="AZ325" s="311">
        <v>16</v>
      </c>
      <c r="BA325" s="311">
        <f t="shared" si="160"/>
        <v>157</v>
      </c>
      <c r="BB325" s="23">
        <f t="shared" si="168"/>
        <v>86.000000000000014</v>
      </c>
      <c r="BC325" s="23">
        <f t="shared" si="170"/>
        <v>118</v>
      </c>
      <c r="BD325" s="23">
        <v>100</v>
      </c>
      <c r="BE325" s="23">
        <v>120</v>
      </c>
      <c r="BF325" s="23">
        <v>0</v>
      </c>
      <c r="BG325" s="19" t="s">
        <v>4470</v>
      </c>
      <c r="BH325" s="311" t="s">
        <v>6204</v>
      </c>
      <c r="BI325" s="311" t="s">
        <v>6204</v>
      </c>
      <c r="BJ325" s="311">
        <v>2</v>
      </c>
      <c r="BK325" s="14">
        <v>6</v>
      </c>
      <c r="BL325" s="191" t="s">
        <v>5791</v>
      </c>
      <c r="BM325" s="192" t="s">
        <v>5791</v>
      </c>
      <c r="BN325" s="192" t="s">
        <v>5791</v>
      </c>
      <c r="BO325" s="192" t="s">
        <v>5791</v>
      </c>
      <c r="BP325" s="192" t="s">
        <v>5791</v>
      </c>
      <c r="BQ325" s="192" t="s">
        <v>5791</v>
      </c>
      <c r="BR325" s="192" t="s">
        <v>5791</v>
      </c>
      <c r="BS325" s="192" t="s">
        <v>5791</v>
      </c>
      <c r="BT325" s="191" t="s">
        <v>5791</v>
      </c>
      <c r="BU325" s="192" t="s">
        <v>5791</v>
      </c>
      <c r="BV325" s="192" t="s">
        <v>5791</v>
      </c>
      <c r="BW325" s="192" t="s">
        <v>5791</v>
      </c>
      <c r="BX325" s="192" t="s">
        <v>5791</v>
      </c>
      <c r="BY325" s="192" t="s">
        <v>5791</v>
      </c>
      <c r="BZ325" s="214" t="s">
        <v>5791</v>
      </c>
      <c r="CA325" s="192" t="s">
        <v>5791</v>
      </c>
      <c r="CB325" s="192" t="s">
        <v>5791</v>
      </c>
      <c r="CC325" s="192" t="s">
        <v>5791</v>
      </c>
      <c r="CD325" s="192" t="s">
        <v>5791</v>
      </c>
      <c r="CE325" s="192" t="s">
        <v>5791</v>
      </c>
      <c r="CF325" s="214" t="s">
        <v>5791</v>
      </c>
      <c r="CG325" s="308" t="s">
        <v>4384</v>
      </c>
      <c r="CH325" s="311">
        <v>355</v>
      </c>
      <c r="CI325" s="23">
        <v>440</v>
      </c>
      <c r="CJ325" s="23">
        <v>470</v>
      </c>
      <c r="CK325" s="23">
        <v>517</v>
      </c>
      <c r="CL325" s="82">
        <v>205000</v>
      </c>
      <c r="CM325" s="308" t="s">
        <v>4384</v>
      </c>
      <c r="CN325" s="311">
        <v>355</v>
      </c>
      <c r="CO325" s="23">
        <v>394</v>
      </c>
      <c r="CP325" s="23">
        <v>470</v>
      </c>
      <c r="CQ325" s="23">
        <v>501</v>
      </c>
      <c r="CR325" s="82">
        <v>205000</v>
      </c>
      <c r="CS325" s="34" t="s">
        <v>4384</v>
      </c>
      <c r="CT325" s="311">
        <v>355</v>
      </c>
      <c r="CU325" s="23">
        <f t="shared" si="169"/>
        <v>390.50000000000006</v>
      </c>
      <c r="CV325" s="23">
        <v>470</v>
      </c>
      <c r="CW325" s="23">
        <f t="shared" si="169"/>
        <v>517</v>
      </c>
      <c r="CX325" s="60">
        <v>200000</v>
      </c>
      <c r="CY325" s="308" t="s">
        <v>5654</v>
      </c>
      <c r="CZ325" s="83">
        <v>60</v>
      </c>
      <c r="DA325" s="35">
        <v>2.5</v>
      </c>
      <c r="DB325" s="69">
        <v>35000</v>
      </c>
      <c r="DC325" s="204" t="s">
        <v>5791</v>
      </c>
      <c r="DD325" s="205" t="s">
        <v>5791</v>
      </c>
      <c r="DE325" s="206" t="s">
        <v>5791</v>
      </c>
      <c r="DF325" s="275" t="s">
        <v>5791</v>
      </c>
      <c r="DG325" s="311">
        <v>8.8000000000000007</v>
      </c>
      <c r="DH325" s="311">
        <v>640</v>
      </c>
      <c r="DI325" s="311">
        <v>752</v>
      </c>
      <c r="DJ325" s="311">
        <v>800</v>
      </c>
      <c r="DK325" s="311">
        <v>987</v>
      </c>
      <c r="DL325" s="98">
        <v>205000</v>
      </c>
      <c r="DM325" s="27" t="s">
        <v>5656</v>
      </c>
      <c r="DN325" s="301" t="s">
        <v>4435</v>
      </c>
      <c r="DO325" s="306" t="s">
        <v>4565</v>
      </c>
    </row>
    <row r="326" spans="1:119" ht="15.6" customHeight="1">
      <c r="A326" s="300">
        <v>321</v>
      </c>
      <c r="B326" s="348">
        <v>49</v>
      </c>
      <c r="C326" s="348">
        <v>2014</v>
      </c>
      <c r="D326" s="348" t="s">
        <v>5962</v>
      </c>
      <c r="E326" s="348" t="s">
        <v>5972</v>
      </c>
      <c r="F326" s="348">
        <v>2</v>
      </c>
      <c r="G326" s="348" t="s">
        <v>5967</v>
      </c>
      <c r="H326" s="348" t="s">
        <v>5963</v>
      </c>
      <c r="I326" s="348" t="s">
        <v>5678</v>
      </c>
      <c r="J326" s="284" t="s">
        <v>5965</v>
      </c>
      <c r="K326" s="300" t="s">
        <v>4383</v>
      </c>
      <c r="L326" s="309" t="s">
        <v>5791</v>
      </c>
      <c r="M326" s="300" t="s">
        <v>4508</v>
      </c>
      <c r="N326" s="309" t="s">
        <v>4702</v>
      </c>
      <c r="O326" s="17" t="s">
        <v>4506</v>
      </c>
      <c r="P326" s="309" t="s">
        <v>4420</v>
      </c>
      <c r="Q326" s="309" t="s">
        <v>4420</v>
      </c>
      <c r="R326" s="309" t="s">
        <v>4420</v>
      </c>
      <c r="S326" s="309" t="s">
        <v>5791</v>
      </c>
      <c r="T326" s="64" t="s">
        <v>4420</v>
      </c>
      <c r="U326" s="64" t="s">
        <v>5791</v>
      </c>
      <c r="V326" s="64" t="s">
        <v>4420</v>
      </c>
      <c r="W326" s="64" t="s">
        <v>5791</v>
      </c>
      <c r="X326" s="309" t="s">
        <v>4420</v>
      </c>
      <c r="Y326" s="309" t="s">
        <v>5791</v>
      </c>
      <c r="Z326" s="302" t="s">
        <v>4559</v>
      </c>
      <c r="AA326" s="47">
        <v>0</v>
      </c>
      <c r="AB326" s="232">
        <v>0</v>
      </c>
      <c r="AC326" s="17">
        <v>0</v>
      </c>
      <c r="AD326" s="297" t="s">
        <v>3997</v>
      </c>
      <c r="AE326" s="16">
        <f>INDEX('[2]Cross-Section Database'!$C$2:$V$2928,MATCH(AD326,'[2]Cross-Section Database'!$B$2:$B$2928,0),3)</f>
        <v>290</v>
      </c>
      <c r="AF326" s="16">
        <f>INDEX('[2]Cross-Section Database'!$C$2:$V$2928,MATCH(AD326,'[2]Cross-Section Database'!$B$2:$B$2928,0),4)</f>
        <v>300</v>
      </c>
      <c r="AG326" s="16">
        <f>INDEX('[2]Cross-Section Database'!$C$2:$V$2928,MATCH(AD326,'[2]Cross-Section Database'!$B$2:$B$2928,0),6)</f>
        <v>14</v>
      </c>
      <c r="AH326" s="16">
        <f>INDEX('[2]Cross-Section Database'!$C$2:$V$2928,MATCH(AD326,'[2]Cross-Section Database'!$B$2:$B$2928,0),5)</f>
        <v>8.5</v>
      </c>
      <c r="AI326" s="50">
        <v>1200</v>
      </c>
      <c r="AJ326" s="297" t="s">
        <v>3998</v>
      </c>
      <c r="AK326" s="16">
        <f>INDEX('[2]Cross-Section Database'!$C$2:$V$23928,MATCH(AJ326,'[2]Cross-Section Database'!$B$2:$B$3928,0),3)</f>
        <v>300</v>
      </c>
      <c r="AL326" s="16">
        <f>INDEX('[2]Cross-Section Database'!$C$2:$V$3928,MATCH(AJ326,'[2]Cross-Section Database'!$B$2:$B$3928,0),4)</f>
        <v>300</v>
      </c>
      <c r="AM326" s="16">
        <f>INDEX('[2]Cross-Section Database'!$C$2:$V$3928,MATCH(AJ326,'[2]Cross-Section Database'!$B$2:$B$3928,0),6)</f>
        <v>19</v>
      </c>
      <c r="AN326" s="16">
        <f>INDEX('[2]Cross-Section Database'!$C$2:$V$3928,MATCH(AJ326,'[2]Cross-Section Database'!$B$2:$B$3928,0),5)</f>
        <v>11</v>
      </c>
      <c r="AO326" s="16">
        <v>1525</v>
      </c>
      <c r="AP326" s="16">
        <f>INDEX('[2]Cross-Section Database'!$C$2:$V$3928,MATCH(AJ326,'[2]Cross-Section Database'!$B$2:$B$3928,0),11)</f>
        <v>251700000</v>
      </c>
      <c r="AQ326" s="26">
        <f>INDEX('[2]Cross-Section Database'!$C$2:$V$3928,MATCH(AJ326,'[2]Cross-Section Database'!$B$2:$B$3928,0),12)</f>
        <v>1869000</v>
      </c>
      <c r="AR326" s="44">
        <v>30</v>
      </c>
      <c r="AS326" s="44">
        <v>320</v>
      </c>
      <c r="AT326" s="44">
        <v>320</v>
      </c>
      <c r="AU326" s="44">
        <v>10</v>
      </c>
      <c r="AV326" s="44">
        <v>10</v>
      </c>
      <c r="AW326" s="300" t="s">
        <v>5806</v>
      </c>
      <c r="AX326" s="309" t="s">
        <v>5964</v>
      </c>
      <c r="AY326" s="16">
        <f>480/AZ326/0.25</f>
        <v>96</v>
      </c>
      <c r="AZ326" s="302">
        <v>20</v>
      </c>
      <c r="BA326" s="302">
        <f>IF(AZ326=24,353,IF(AZ326=22,303,IF(AZ326=20,245,IF(AZ326=16,157,0))))</f>
        <v>245</v>
      </c>
      <c r="BB326" s="44">
        <v>65</v>
      </c>
      <c r="BC326" s="44">
        <v>65</v>
      </c>
      <c r="BD326" s="44">
        <v>0</v>
      </c>
      <c r="BE326" s="44">
        <v>110</v>
      </c>
      <c r="BF326" s="44">
        <v>190</v>
      </c>
      <c r="BG326" s="239" t="s">
        <v>4470</v>
      </c>
      <c r="BH326" s="302" t="s">
        <v>6206</v>
      </c>
      <c r="BI326" s="302" t="s">
        <v>6206</v>
      </c>
      <c r="BJ326" s="302">
        <v>4</v>
      </c>
      <c r="BK326" s="302">
        <v>8</v>
      </c>
      <c r="BL326" s="194" t="s">
        <v>5791</v>
      </c>
      <c r="BM326" s="195" t="s">
        <v>5791</v>
      </c>
      <c r="BN326" s="195" t="s">
        <v>5791</v>
      </c>
      <c r="BO326" s="195" t="s">
        <v>5791</v>
      </c>
      <c r="BP326" s="195" t="s">
        <v>5791</v>
      </c>
      <c r="BQ326" s="195" t="s">
        <v>5791</v>
      </c>
      <c r="BR326" s="195" t="s">
        <v>5791</v>
      </c>
      <c r="BS326" s="195" t="s">
        <v>5791</v>
      </c>
      <c r="BT326" s="194" t="s">
        <v>5791</v>
      </c>
      <c r="BU326" s="195" t="s">
        <v>5791</v>
      </c>
      <c r="BV326" s="195" t="s">
        <v>5791</v>
      </c>
      <c r="BW326" s="195" t="s">
        <v>5791</v>
      </c>
      <c r="BX326" s="195" t="s">
        <v>5791</v>
      </c>
      <c r="BY326" s="195" t="s">
        <v>5791</v>
      </c>
      <c r="BZ326" s="213" t="s">
        <v>5791</v>
      </c>
      <c r="CA326" s="195" t="s">
        <v>5791</v>
      </c>
      <c r="CB326" s="195" t="s">
        <v>5791</v>
      </c>
      <c r="CC326" s="195" t="s">
        <v>5791</v>
      </c>
      <c r="CD326" s="195" t="s">
        <v>5791</v>
      </c>
      <c r="CE326" s="195" t="s">
        <v>5791</v>
      </c>
      <c r="CF326" s="213" t="s">
        <v>5791</v>
      </c>
      <c r="CG326" s="300" t="s">
        <v>5968</v>
      </c>
      <c r="CH326" s="309">
        <v>235</v>
      </c>
      <c r="CI326" s="16">
        <v>353</v>
      </c>
      <c r="CJ326" s="309">
        <v>360</v>
      </c>
      <c r="CK326" s="16">
        <v>433</v>
      </c>
      <c r="CL326" s="65">
        <v>200000</v>
      </c>
      <c r="CM326" s="300" t="s">
        <v>5968</v>
      </c>
      <c r="CN326" s="309">
        <v>235</v>
      </c>
      <c r="CO326" s="16">
        <v>346</v>
      </c>
      <c r="CP326" s="309">
        <v>360</v>
      </c>
      <c r="CQ326" s="16">
        <v>433</v>
      </c>
      <c r="CR326" s="65">
        <v>200000</v>
      </c>
      <c r="CS326" s="300" t="s">
        <v>5969</v>
      </c>
      <c r="CT326" s="309">
        <v>355</v>
      </c>
      <c r="CU326" s="16">
        <v>366</v>
      </c>
      <c r="CV326" s="309">
        <v>470</v>
      </c>
      <c r="CW326" s="16">
        <v>538</v>
      </c>
      <c r="CX326" s="65">
        <v>200000</v>
      </c>
      <c r="CY326" s="198" t="s">
        <v>5791</v>
      </c>
      <c r="CZ326" s="199" t="s">
        <v>5791</v>
      </c>
      <c r="DA326" s="199" t="s">
        <v>5791</v>
      </c>
      <c r="DB326" s="200" t="s">
        <v>5791</v>
      </c>
      <c r="DC326" s="198" t="s">
        <v>5791</v>
      </c>
      <c r="DD326" s="199" t="s">
        <v>5791</v>
      </c>
      <c r="DE326" s="200" t="s">
        <v>5791</v>
      </c>
      <c r="DF326" s="273" t="s">
        <v>5791</v>
      </c>
      <c r="DG326" s="309">
        <v>10.9</v>
      </c>
      <c r="DH326" s="309">
        <v>900</v>
      </c>
      <c r="DI326" s="30">
        <v>990</v>
      </c>
      <c r="DJ326" s="309">
        <v>1000</v>
      </c>
      <c r="DK326" s="30">
        <v>1100</v>
      </c>
      <c r="DL326" s="75">
        <v>200000</v>
      </c>
      <c r="DM326" s="240" t="s">
        <v>5970</v>
      </c>
      <c r="DN326" s="302" t="s">
        <v>4435</v>
      </c>
      <c r="DO326" s="305" t="s">
        <v>4565</v>
      </c>
    </row>
    <row r="327" spans="1:119" ht="16.2" thickBot="1">
      <c r="A327" s="299">
        <v>322</v>
      </c>
      <c r="B327" s="350"/>
      <c r="C327" s="350"/>
      <c r="D327" s="350"/>
      <c r="E327" s="350"/>
      <c r="F327" s="350"/>
      <c r="G327" s="350"/>
      <c r="H327" s="350"/>
      <c r="I327" s="350"/>
      <c r="J327" s="285" t="s">
        <v>5966</v>
      </c>
      <c r="K327" s="299" t="s">
        <v>4383</v>
      </c>
      <c r="L327" s="304" t="s">
        <v>5791</v>
      </c>
      <c r="M327" s="299" t="s">
        <v>4508</v>
      </c>
      <c r="N327" s="304" t="s">
        <v>4702</v>
      </c>
      <c r="O327" s="49" t="s">
        <v>4506</v>
      </c>
      <c r="P327" s="304" t="s">
        <v>4420</v>
      </c>
      <c r="Q327" s="304" t="s">
        <v>4420</v>
      </c>
      <c r="R327" s="304" t="s">
        <v>4420</v>
      </c>
      <c r="S327" s="304" t="s">
        <v>5791</v>
      </c>
      <c r="T327" s="86" t="s">
        <v>4420</v>
      </c>
      <c r="U327" s="86" t="s">
        <v>5791</v>
      </c>
      <c r="V327" s="86" t="s">
        <v>4420</v>
      </c>
      <c r="W327" s="86" t="s">
        <v>5791</v>
      </c>
      <c r="X327" s="304" t="s">
        <v>4420</v>
      </c>
      <c r="Y327" s="304" t="s">
        <v>5791</v>
      </c>
      <c r="Z327" s="304" t="s">
        <v>4559</v>
      </c>
      <c r="AA327" s="49">
        <v>0</v>
      </c>
      <c r="AB327" s="228">
        <v>0</v>
      </c>
      <c r="AC327" s="14">
        <v>0</v>
      </c>
      <c r="AD327" s="299" t="s">
        <v>3998</v>
      </c>
      <c r="AE327" s="23">
        <f>INDEX('[2]Cross-Section Database'!$C$2:$V$2928,MATCH(AD327,'[2]Cross-Section Database'!$B$2:$B$2928,0),3)</f>
        <v>300</v>
      </c>
      <c r="AF327" s="23">
        <f>INDEX('[2]Cross-Section Database'!$C$2:$V$2928,MATCH(AD327,'[2]Cross-Section Database'!$B$2:$B$2928,0),4)</f>
        <v>300</v>
      </c>
      <c r="AG327" s="23">
        <f>INDEX('[2]Cross-Section Database'!$C$2:$V$2928,MATCH(AD327,'[2]Cross-Section Database'!$B$2:$B$2928,0),6)</f>
        <v>19</v>
      </c>
      <c r="AH327" s="23">
        <f>INDEX('[2]Cross-Section Database'!$C$2:$V$2928,MATCH(AD327,'[2]Cross-Section Database'!$B$2:$B$2928,0),5)</f>
        <v>11</v>
      </c>
      <c r="AI327" s="56">
        <v>1200</v>
      </c>
      <c r="AJ327" s="299" t="s">
        <v>3998</v>
      </c>
      <c r="AK327" s="23">
        <f>INDEX('[2]Cross-Section Database'!$C$2:$V$23928,MATCH(AJ327,'[2]Cross-Section Database'!$B$2:$B$3928,0),3)</f>
        <v>300</v>
      </c>
      <c r="AL327" s="23">
        <f>INDEX('[2]Cross-Section Database'!$C$2:$V$3928,MATCH(AJ327,'[2]Cross-Section Database'!$B$2:$B$3928,0),4)</f>
        <v>300</v>
      </c>
      <c r="AM327" s="23">
        <f>INDEX('[2]Cross-Section Database'!$C$2:$V$3928,MATCH(AJ327,'[2]Cross-Section Database'!$B$2:$B$3928,0),6)</f>
        <v>19</v>
      </c>
      <c r="AN327" s="23">
        <f>INDEX('[2]Cross-Section Database'!$C$2:$V$3928,MATCH(AJ327,'[2]Cross-Section Database'!$B$2:$B$3928,0),5)</f>
        <v>11</v>
      </c>
      <c r="AO327" s="23">
        <v>1525</v>
      </c>
      <c r="AP327" s="23">
        <f>INDEX('[2]Cross-Section Database'!$C$2:$V$3928,MATCH(AJ327,'[2]Cross-Section Database'!$B$2:$B$3928,0),11)</f>
        <v>251700000</v>
      </c>
      <c r="AQ327" s="25">
        <f>INDEX('[2]Cross-Section Database'!$C$2:$V$3928,MATCH(AJ327,'[2]Cross-Section Database'!$B$2:$B$3928,0),12)</f>
        <v>1869000</v>
      </c>
      <c r="AR327" s="55">
        <v>30</v>
      </c>
      <c r="AS327" s="55">
        <v>320</v>
      </c>
      <c r="AT327" s="55">
        <v>320</v>
      </c>
      <c r="AU327" s="55">
        <v>10</v>
      </c>
      <c r="AV327" s="55">
        <v>10</v>
      </c>
      <c r="AW327" s="308" t="s">
        <v>5806</v>
      </c>
      <c r="AX327" s="311" t="s">
        <v>5964</v>
      </c>
      <c r="AY327" s="23">
        <f>480/AZ327/0.25</f>
        <v>96</v>
      </c>
      <c r="AZ327" s="304">
        <v>20</v>
      </c>
      <c r="BA327" s="304">
        <f>IF(AZ327=24,353,IF(AZ327=22,303,IF(AZ327=20,245,IF(AZ327=16,157,0))))</f>
        <v>245</v>
      </c>
      <c r="BB327" s="55">
        <v>65</v>
      </c>
      <c r="BC327" s="55">
        <v>65</v>
      </c>
      <c r="BD327" s="55">
        <v>0</v>
      </c>
      <c r="BE327" s="55">
        <v>110</v>
      </c>
      <c r="BF327" s="55">
        <v>190</v>
      </c>
      <c r="BG327" s="235" t="s">
        <v>4470</v>
      </c>
      <c r="BH327" s="304" t="s">
        <v>6206</v>
      </c>
      <c r="BI327" s="304" t="s">
        <v>6206</v>
      </c>
      <c r="BJ327" s="304">
        <v>4</v>
      </c>
      <c r="BK327" s="304">
        <v>8</v>
      </c>
      <c r="BL327" s="191" t="s">
        <v>5791</v>
      </c>
      <c r="BM327" s="192" t="s">
        <v>5791</v>
      </c>
      <c r="BN327" s="192" t="s">
        <v>5791</v>
      </c>
      <c r="BO327" s="192" t="s">
        <v>5791</v>
      </c>
      <c r="BP327" s="192" t="s">
        <v>5791</v>
      </c>
      <c r="BQ327" s="192" t="s">
        <v>5791</v>
      </c>
      <c r="BR327" s="192" t="s">
        <v>5791</v>
      </c>
      <c r="BS327" s="192" t="s">
        <v>5791</v>
      </c>
      <c r="BT327" s="191" t="s">
        <v>5791</v>
      </c>
      <c r="BU327" s="192" t="s">
        <v>5791</v>
      </c>
      <c r="BV327" s="192" t="s">
        <v>5791</v>
      </c>
      <c r="BW327" s="192" t="s">
        <v>5791</v>
      </c>
      <c r="BX327" s="192" t="s">
        <v>5791</v>
      </c>
      <c r="BY327" s="192" t="s">
        <v>5791</v>
      </c>
      <c r="BZ327" s="214" t="s">
        <v>5791</v>
      </c>
      <c r="CA327" s="192" t="s">
        <v>5791</v>
      </c>
      <c r="CB327" s="192" t="s">
        <v>5791</v>
      </c>
      <c r="CC327" s="192" t="s">
        <v>5791</v>
      </c>
      <c r="CD327" s="192" t="s">
        <v>5791</v>
      </c>
      <c r="CE327" s="192" t="s">
        <v>5791</v>
      </c>
      <c r="CF327" s="214" t="s">
        <v>5791</v>
      </c>
      <c r="CG327" s="308" t="s">
        <v>5968</v>
      </c>
      <c r="CH327" s="311">
        <v>235</v>
      </c>
      <c r="CI327" s="23">
        <v>346</v>
      </c>
      <c r="CJ327" s="311">
        <v>360</v>
      </c>
      <c r="CK327" s="23">
        <v>433</v>
      </c>
      <c r="CL327" s="69">
        <v>200000</v>
      </c>
      <c r="CM327" s="308" t="s">
        <v>5968</v>
      </c>
      <c r="CN327" s="311">
        <v>235</v>
      </c>
      <c r="CO327" s="23">
        <v>346</v>
      </c>
      <c r="CP327" s="311">
        <v>360</v>
      </c>
      <c r="CQ327" s="23">
        <v>433</v>
      </c>
      <c r="CR327" s="69">
        <v>200000</v>
      </c>
      <c r="CS327" s="308" t="s">
        <v>5969</v>
      </c>
      <c r="CT327" s="311">
        <v>355</v>
      </c>
      <c r="CU327" s="23">
        <v>366</v>
      </c>
      <c r="CV327" s="311">
        <v>470</v>
      </c>
      <c r="CW327" s="23">
        <v>538</v>
      </c>
      <c r="CX327" s="69">
        <v>200000</v>
      </c>
      <c r="CY327" s="204" t="s">
        <v>5791</v>
      </c>
      <c r="CZ327" s="205" t="s">
        <v>5791</v>
      </c>
      <c r="DA327" s="205" t="s">
        <v>5791</v>
      </c>
      <c r="DB327" s="206" t="s">
        <v>5791</v>
      </c>
      <c r="DC327" s="204" t="s">
        <v>5791</v>
      </c>
      <c r="DD327" s="205" t="s">
        <v>5791</v>
      </c>
      <c r="DE327" s="206" t="s">
        <v>5791</v>
      </c>
      <c r="DF327" s="275" t="s">
        <v>5791</v>
      </c>
      <c r="DG327" s="311">
        <v>10.9</v>
      </c>
      <c r="DH327" s="311">
        <v>900</v>
      </c>
      <c r="DI327" s="34">
        <v>990</v>
      </c>
      <c r="DJ327" s="13">
        <v>1000</v>
      </c>
      <c r="DK327" s="34">
        <v>1100</v>
      </c>
      <c r="DL327" s="76">
        <v>200000</v>
      </c>
      <c r="DM327" s="241" t="s">
        <v>5970</v>
      </c>
      <c r="DN327" s="304" t="s">
        <v>4435</v>
      </c>
      <c r="DO327" s="307" t="s">
        <v>4565</v>
      </c>
    </row>
    <row r="328" spans="1:119" ht="15.6" customHeight="1">
      <c r="A328" s="300">
        <v>323</v>
      </c>
      <c r="B328" s="348">
        <v>50</v>
      </c>
      <c r="C328" s="348">
        <v>2016</v>
      </c>
      <c r="D328" s="362" t="s">
        <v>4683</v>
      </c>
      <c r="E328" s="365" t="s">
        <v>4843</v>
      </c>
      <c r="F328" s="348">
        <v>10</v>
      </c>
      <c r="G328" s="368" t="s">
        <v>5931</v>
      </c>
      <c r="H328" s="368" t="s">
        <v>5922</v>
      </c>
      <c r="I328" s="368" t="s">
        <v>6252</v>
      </c>
      <c r="J328" s="284" t="s">
        <v>4731</v>
      </c>
      <c r="K328" s="300" t="s">
        <v>4383</v>
      </c>
      <c r="L328" s="309" t="s">
        <v>5791</v>
      </c>
      <c r="M328" s="300" t="s">
        <v>4507</v>
      </c>
      <c r="N328" s="309" t="s">
        <v>4700</v>
      </c>
      <c r="O328" s="17" t="s">
        <v>4506</v>
      </c>
      <c r="P328" s="309" t="s">
        <v>4420</v>
      </c>
      <c r="Q328" s="309" t="s">
        <v>4420</v>
      </c>
      <c r="R328" s="309" t="s">
        <v>6164</v>
      </c>
      <c r="S328" s="309">
        <v>16</v>
      </c>
      <c r="T328" s="64" t="s">
        <v>4420</v>
      </c>
      <c r="U328" s="64" t="s">
        <v>5791</v>
      </c>
      <c r="V328" s="64" t="s">
        <v>4420</v>
      </c>
      <c r="W328" s="64" t="s">
        <v>5791</v>
      </c>
      <c r="X328" s="309" t="s">
        <v>4420</v>
      </c>
      <c r="Y328" s="309" t="s">
        <v>5791</v>
      </c>
      <c r="Z328" s="309" t="s">
        <v>4558</v>
      </c>
      <c r="AA328" s="17">
        <v>8</v>
      </c>
      <c r="AB328" s="223">
        <v>0</v>
      </c>
      <c r="AC328" s="18">
        <v>0</v>
      </c>
      <c r="AD328" s="301" t="s">
        <v>6353</v>
      </c>
      <c r="AE328" s="21">
        <f>INDEX('[2]Cross-Section Database'!$C$2:$V$2928,MATCH(AD328,'[2]Cross-Section Database'!$B$2:$B$2928,0),3)</f>
        <v>260</v>
      </c>
      <c r="AF328" s="21">
        <f>INDEX('[2]Cross-Section Database'!$C$2:$V$2928,MATCH(AD328,'[2]Cross-Section Database'!$B$2:$B$2928,0),4)</f>
        <v>256</v>
      </c>
      <c r="AG328" s="21">
        <f>INDEX('[2]Cross-Section Database'!$C$2:$V$2928,MATCH(AD328,'[2]Cross-Section Database'!$B$2:$B$2928,0),6)</f>
        <v>17.3</v>
      </c>
      <c r="AH328" s="21">
        <f>INDEX('[2]Cross-Section Database'!$C$2:$V$2928,MATCH(AD328,'[2]Cross-Section Database'!$B$2:$B$2928,0),5)</f>
        <v>10.5</v>
      </c>
      <c r="AI328" s="21">
        <v>830</v>
      </c>
      <c r="AJ328" s="301" t="s">
        <v>6354</v>
      </c>
      <c r="AK328" s="16">
        <f>INDEX('[2]Cross-Section Database'!$C$2:$V$2928,MATCH(AJ328,'[2]Cross-Section Database'!$B$2:$B$2928,0),3)</f>
        <v>460</v>
      </c>
      <c r="AL328" s="16">
        <f>INDEX('[2]Cross-Section Database'!$C$2:$V$2928,MATCH(AJ328,'[2]Cross-Section Database'!$B$2:$B$2928,0),4)</f>
        <v>191</v>
      </c>
      <c r="AM328" s="16">
        <f>INDEX('[2]Cross-Section Database'!$C$2:$V$2928,MATCH(AJ328,'[2]Cross-Section Database'!$B$2:$B$2928,0),6)</f>
        <v>16</v>
      </c>
      <c r="AN328" s="16">
        <f>INDEX('[2]Cross-Section Database'!$C$2:$V$2928,MATCH(AJ328,'[2]Cross-Section Database'!$B$2:$B$2928,0),5)</f>
        <v>9.9</v>
      </c>
      <c r="AO328" s="16">
        <v>1250</v>
      </c>
      <c r="AP328" s="16">
        <f>INDEX('[2]Cross-Section Database'!$C$2:$V$3928,MATCH(AJ328,'[2]Cross-Section Database'!$B$2:$B$3928,0),11)</f>
        <v>372000000</v>
      </c>
      <c r="AQ328" s="26">
        <f>INDEX('[2]Cross-Section Database'!$C$2:$V$3928,MATCH(AJ328,'[2]Cross-Section Database'!$B$2:$B$3928,0),12)</f>
        <v>1840000</v>
      </c>
      <c r="AR328" s="21">
        <v>12</v>
      </c>
      <c r="AS328" s="21">
        <v>220</v>
      </c>
      <c r="AT328" s="21">
        <v>510</v>
      </c>
      <c r="AU328" s="21">
        <f t="shared" si="167"/>
        <v>25</v>
      </c>
      <c r="AV328" s="21">
        <f t="shared" si="162"/>
        <v>25</v>
      </c>
      <c r="AW328" s="300" t="s">
        <v>5806</v>
      </c>
      <c r="AX328" s="310" t="s">
        <v>4604</v>
      </c>
      <c r="AY328" s="21">
        <f t="shared" ref="AY328:AY333" si="171">300/AZ328/0.25</f>
        <v>50</v>
      </c>
      <c r="AZ328" s="310">
        <v>24</v>
      </c>
      <c r="BA328" s="310">
        <f t="shared" si="160"/>
        <v>353</v>
      </c>
      <c r="BB328" s="21">
        <v>85</v>
      </c>
      <c r="BC328" s="21">
        <f t="shared" si="165"/>
        <v>85</v>
      </c>
      <c r="BD328" s="21">
        <v>0</v>
      </c>
      <c r="BE328" s="21">
        <v>100</v>
      </c>
      <c r="BF328" s="21">
        <v>340</v>
      </c>
      <c r="BG328" s="15" t="s">
        <v>4470</v>
      </c>
      <c r="BH328" s="310" t="s">
        <v>6204</v>
      </c>
      <c r="BI328" s="310" t="s">
        <v>6204</v>
      </c>
      <c r="BJ328" s="310">
        <v>2</v>
      </c>
      <c r="BK328" s="310">
        <v>4</v>
      </c>
      <c r="BL328" s="196" t="s">
        <v>5791</v>
      </c>
      <c r="BM328" s="197" t="s">
        <v>5791</v>
      </c>
      <c r="BN328" s="197" t="s">
        <v>5791</v>
      </c>
      <c r="BO328" s="197" t="s">
        <v>5791</v>
      </c>
      <c r="BP328" s="197" t="s">
        <v>5791</v>
      </c>
      <c r="BQ328" s="197" t="s">
        <v>5791</v>
      </c>
      <c r="BR328" s="197" t="s">
        <v>5791</v>
      </c>
      <c r="BS328" s="197" t="s">
        <v>5791</v>
      </c>
      <c r="BT328" s="196" t="s">
        <v>5791</v>
      </c>
      <c r="BU328" s="197" t="s">
        <v>5791</v>
      </c>
      <c r="BV328" s="197" t="s">
        <v>5791</v>
      </c>
      <c r="BW328" s="197" t="s">
        <v>5791</v>
      </c>
      <c r="BX328" s="197" t="s">
        <v>5791</v>
      </c>
      <c r="BY328" s="197" t="s">
        <v>5791</v>
      </c>
      <c r="BZ328" s="212" t="s">
        <v>5791</v>
      </c>
      <c r="CA328" s="197" t="s">
        <v>5791</v>
      </c>
      <c r="CB328" s="197" t="s">
        <v>5791</v>
      </c>
      <c r="CC328" s="197" t="s">
        <v>5791</v>
      </c>
      <c r="CD328" s="197" t="s">
        <v>5791</v>
      </c>
      <c r="CE328" s="197" t="s">
        <v>5791</v>
      </c>
      <c r="CF328" s="212" t="s">
        <v>5791</v>
      </c>
      <c r="CG328" s="59" t="s">
        <v>5663</v>
      </c>
      <c r="CH328" s="59">
        <v>300</v>
      </c>
      <c r="CI328" s="46">
        <f t="shared" ref="CI328:CI333" si="172">(328.8+351.7)/2</f>
        <v>340.25</v>
      </c>
      <c r="CJ328" s="21">
        <v>505</v>
      </c>
      <c r="CK328" s="21">
        <f t="shared" ref="CK328:CK333" si="173">(524.7+522.8)/2</f>
        <v>523.75</v>
      </c>
      <c r="CL328" s="68">
        <f t="shared" ref="CL328:CL333" si="174">(191700+202100)/2</f>
        <v>196900</v>
      </c>
      <c r="CM328" s="134" t="s">
        <v>5663</v>
      </c>
      <c r="CN328" s="59">
        <v>300</v>
      </c>
      <c r="CO328" s="46">
        <f t="shared" ref="CO328:CO333" si="175">(352.2+398.8)/2</f>
        <v>375.5</v>
      </c>
      <c r="CP328" s="46">
        <v>505</v>
      </c>
      <c r="CQ328" s="21">
        <f t="shared" ref="CQ328:CQ333" si="176">(530.6+551.4)/2</f>
        <v>541</v>
      </c>
      <c r="CR328" s="68">
        <f t="shared" ref="CR328:CR333" si="177">(200300+219300)/2</f>
        <v>209800</v>
      </c>
      <c r="CS328" s="32" t="s">
        <v>4450</v>
      </c>
      <c r="CT328" s="59">
        <v>275</v>
      </c>
      <c r="CU328" s="21">
        <v>324.5</v>
      </c>
      <c r="CV328" s="46">
        <v>410</v>
      </c>
      <c r="CW328" s="21">
        <v>495.1</v>
      </c>
      <c r="CX328" s="60">
        <v>200000</v>
      </c>
      <c r="CY328" s="198" t="s">
        <v>5791</v>
      </c>
      <c r="CZ328" s="199" t="s">
        <v>5791</v>
      </c>
      <c r="DA328" s="199" t="s">
        <v>5791</v>
      </c>
      <c r="DB328" s="200" t="s">
        <v>5791</v>
      </c>
      <c r="DC328" s="201" t="s">
        <v>5791</v>
      </c>
      <c r="DD328" s="202" t="s">
        <v>5791</v>
      </c>
      <c r="DE328" s="203" t="s">
        <v>5791</v>
      </c>
      <c r="DF328" s="274" t="s">
        <v>5791</v>
      </c>
      <c r="DG328" s="310">
        <v>8.8000000000000007</v>
      </c>
      <c r="DH328" s="310">
        <v>640</v>
      </c>
      <c r="DI328" s="16">
        <v>890.2</v>
      </c>
      <c r="DJ328" s="16">
        <v>800</v>
      </c>
      <c r="DK328" s="16">
        <v>980.6</v>
      </c>
      <c r="DL328" s="96">
        <v>199400</v>
      </c>
      <c r="DM328" s="29" t="s">
        <v>5837</v>
      </c>
      <c r="DN328" s="309" t="s">
        <v>4435</v>
      </c>
      <c r="DO328" s="305" t="s">
        <v>4565</v>
      </c>
    </row>
    <row r="329" spans="1:119">
      <c r="A329" s="301">
        <v>324</v>
      </c>
      <c r="B329" s="349"/>
      <c r="C329" s="349"/>
      <c r="D329" s="363"/>
      <c r="E329" s="366"/>
      <c r="F329" s="349"/>
      <c r="G329" s="369"/>
      <c r="H329" s="369"/>
      <c r="I329" s="369"/>
      <c r="J329" s="286" t="s">
        <v>4732</v>
      </c>
      <c r="K329" s="301" t="s">
        <v>4383</v>
      </c>
      <c r="L329" s="310" t="s">
        <v>5791</v>
      </c>
      <c r="M329" s="301" t="s">
        <v>4507</v>
      </c>
      <c r="N329" s="310" t="s">
        <v>4700</v>
      </c>
      <c r="O329" s="18" t="s">
        <v>4506</v>
      </c>
      <c r="P329" s="310" t="s">
        <v>4470</v>
      </c>
      <c r="Q329" s="310" t="s">
        <v>4420</v>
      </c>
      <c r="R329" s="310" t="s">
        <v>6164</v>
      </c>
      <c r="S329" s="310">
        <v>16</v>
      </c>
      <c r="T329" s="59" t="s">
        <v>4420</v>
      </c>
      <c r="U329" s="59" t="s">
        <v>5791</v>
      </c>
      <c r="V329" s="59" t="s">
        <v>4420</v>
      </c>
      <c r="W329" s="59" t="s">
        <v>5791</v>
      </c>
      <c r="X329" s="310" t="s">
        <v>4420</v>
      </c>
      <c r="Y329" s="310" t="s">
        <v>5791</v>
      </c>
      <c r="Z329" s="310" t="s">
        <v>4558</v>
      </c>
      <c r="AA329" s="18">
        <v>8</v>
      </c>
      <c r="AB329" s="223">
        <v>0</v>
      </c>
      <c r="AC329" s="18">
        <v>0</v>
      </c>
      <c r="AD329" s="301" t="s">
        <v>6353</v>
      </c>
      <c r="AE329" s="21">
        <f>INDEX('[2]Cross-Section Database'!$C$2:$V$2928,MATCH(AD329,'[2]Cross-Section Database'!$B$2:$B$2928,0),3)</f>
        <v>260</v>
      </c>
      <c r="AF329" s="21">
        <f>INDEX('[2]Cross-Section Database'!$C$2:$V$2928,MATCH(AD329,'[2]Cross-Section Database'!$B$2:$B$2928,0),4)</f>
        <v>256</v>
      </c>
      <c r="AG329" s="21">
        <f>INDEX('[2]Cross-Section Database'!$C$2:$V$2928,MATCH(AD329,'[2]Cross-Section Database'!$B$2:$B$2928,0),6)</f>
        <v>17.3</v>
      </c>
      <c r="AH329" s="21">
        <f>INDEX('[2]Cross-Section Database'!$C$2:$V$2928,MATCH(AD329,'[2]Cross-Section Database'!$B$2:$B$2928,0),5)</f>
        <v>10.5</v>
      </c>
      <c r="AI329" s="21">
        <v>830</v>
      </c>
      <c r="AJ329" s="301" t="s">
        <v>6354</v>
      </c>
      <c r="AK329" s="21">
        <f>INDEX('[2]Cross-Section Database'!$C$2:$V$2928,MATCH(AJ329,'[2]Cross-Section Database'!$B$2:$B$2928,0),3)</f>
        <v>460</v>
      </c>
      <c r="AL329" s="21">
        <f>INDEX('[2]Cross-Section Database'!$C$2:$V$2928,MATCH(AJ329,'[2]Cross-Section Database'!$B$2:$B$2928,0),4)</f>
        <v>191</v>
      </c>
      <c r="AM329" s="21">
        <f>INDEX('[2]Cross-Section Database'!$C$2:$V$2928,MATCH(AJ329,'[2]Cross-Section Database'!$B$2:$B$2928,0),6)</f>
        <v>16</v>
      </c>
      <c r="AN329" s="21">
        <f>INDEX('[2]Cross-Section Database'!$C$2:$V$2928,MATCH(AJ329,'[2]Cross-Section Database'!$B$2:$B$2928,0),5)</f>
        <v>9.9</v>
      </c>
      <c r="AO329" s="21">
        <v>1250</v>
      </c>
      <c r="AP329" s="21">
        <f>INDEX('[2]Cross-Section Database'!$C$2:$V$3928,MATCH(AJ329,'[2]Cross-Section Database'!$B$2:$B$3928,0),11)</f>
        <v>372000000</v>
      </c>
      <c r="AQ329" s="24">
        <f>INDEX('[2]Cross-Section Database'!$C$2:$V$3928,MATCH(AJ329,'[2]Cross-Section Database'!$B$2:$B$3928,0),12)</f>
        <v>1840000</v>
      </c>
      <c r="AR329" s="21">
        <v>12</v>
      </c>
      <c r="AS329" s="21">
        <v>220</v>
      </c>
      <c r="AT329" s="21">
        <v>510</v>
      </c>
      <c r="AU329" s="21">
        <f t="shared" si="167"/>
        <v>25</v>
      </c>
      <c r="AV329" s="21">
        <f t="shared" si="162"/>
        <v>25</v>
      </c>
      <c r="AW329" s="301" t="s">
        <v>5806</v>
      </c>
      <c r="AX329" s="310" t="s">
        <v>4604</v>
      </c>
      <c r="AY329" s="21">
        <f t="shared" si="171"/>
        <v>50</v>
      </c>
      <c r="AZ329" s="310">
        <v>24</v>
      </c>
      <c r="BA329" s="310">
        <f t="shared" si="160"/>
        <v>353</v>
      </c>
      <c r="BB329" s="21">
        <v>85</v>
      </c>
      <c r="BC329" s="21">
        <f t="shared" si="165"/>
        <v>85</v>
      </c>
      <c r="BD329" s="21">
        <v>0</v>
      </c>
      <c r="BE329" s="21">
        <v>100</v>
      </c>
      <c r="BF329" s="21">
        <v>340</v>
      </c>
      <c r="BG329" s="15" t="s">
        <v>4470</v>
      </c>
      <c r="BH329" s="310" t="s">
        <v>6204</v>
      </c>
      <c r="BI329" s="310" t="s">
        <v>6204</v>
      </c>
      <c r="BJ329" s="310">
        <v>2</v>
      </c>
      <c r="BK329" s="310">
        <v>4</v>
      </c>
      <c r="BL329" s="301">
        <v>120</v>
      </c>
      <c r="BM329" s="310">
        <v>1100</v>
      </c>
      <c r="BN329" s="197" t="s">
        <v>5791</v>
      </c>
      <c r="BO329" s="197" t="s">
        <v>5791</v>
      </c>
      <c r="BP329" s="197" t="s">
        <v>5791</v>
      </c>
      <c r="BQ329" s="197" t="s">
        <v>5791</v>
      </c>
      <c r="BR329" s="197" t="s">
        <v>5791</v>
      </c>
      <c r="BS329" s="197" t="s">
        <v>5791</v>
      </c>
      <c r="BT329" s="301" t="s">
        <v>5856</v>
      </c>
      <c r="BU329" s="310">
        <v>6</v>
      </c>
      <c r="BV329" s="310">
        <v>2</v>
      </c>
      <c r="BW329" s="310">
        <v>20</v>
      </c>
      <c r="BX329" s="310">
        <v>120</v>
      </c>
      <c r="BY329" s="310">
        <v>120</v>
      </c>
      <c r="BZ329" s="18">
        <v>525</v>
      </c>
      <c r="CA329" s="310" t="s">
        <v>4585</v>
      </c>
      <c r="CB329" s="310" t="s">
        <v>4601</v>
      </c>
      <c r="CC329" s="21">
        <f t="shared" ref="CC329:CC330" si="178">((BM329/150)+1)*PI()*10^2/4</f>
        <v>654.49846949787343</v>
      </c>
      <c r="CD329" s="21">
        <f>6*PI()*16^2/4</f>
        <v>1206.3715789784806</v>
      </c>
      <c r="CE329" s="310">
        <v>30</v>
      </c>
      <c r="CF329" s="119">
        <f>CD329/BL329/BM329</f>
        <v>9.1391786286248531E-3</v>
      </c>
      <c r="CG329" s="59" t="s">
        <v>5663</v>
      </c>
      <c r="CH329" s="59">
        <v>300</v>
      </c>
      <c r="CI329" s="46">
        <f t="shared" si="172"/>
        <v>340.25</v>
      </c>
      <c r="CJ329" s="21">
        <v>505</v>
      </c>
      <c r="CK329" s="21">
        <f t="shared" si="173"/>
        <v>523.75</v>
      </c>
      <c r="CL329" s="68">
        <f t="shared" si="174"/>
        <v>196900</v>
      </c>
      <c r="CM329" s="134" t="s">
        <v>5663</v>
      </c>
      <c r="CN329" s="59">
        <v>300</v>
      </c>
      <c r="CO329" s="46">
        <f t="shared" si="175"/>
        <v>375.5</v>
      </c>
      <c r="CP329" s="46">
        <v>505</v>
      </c>
      <c r="CQ329" s="21">
        <f t="shared" si="176"/>
        <v>541</v>
      </c>
      <c r="CR329" s="68">
        <f t="shared" si="177"/>
        <v>209800</v>
      </c>
      <c r="CS329" s="32" t="s">
        <v>4450</v>
      </c>
      <c r="CT329" s="59">
        <v>275</v>
      </c>
      <c r="CU329" s="21">
        <v>324.5</v>
      </c>
      <c r="CV329" s="46">
        <v>410</v>
      </c>
      <c r="CW329" s="21">
        <v>495.1</v>
      </c>
      <c r="CX329" s="60">
        <v>200000</v>
      </c>
      <c r="CY329" s="91" t="s">
        <v>5859</v>
      </c>
      <c r="CZ329" s="63">
        <v>56.8</v>
      </c>
      <c r="DA329" s="63">
        <v>5.6</v>
      </c>
      <c r="DB329" s="68">
        <v>33889</v>
      </c>
      <c r="DC329" s="91">
        <v>543.1</v>
      </c>
      <c r="DD329" s="63">
        <v>639.70000000000005</v>
      </c>
      <c r="DE329" s="68">
        <v>200700</v>
      </c>
      <c r="DF329" s="274" t="s">
        <v>5791</v>
      </c>
      <c r="DG329" s="310">
        <v>8.8000000000000007</v>
      </c>
      <c r="DH329" s="310">
        <v>640</v>
      </c>
      <c r="DI329" s="21">
        <v>890.2</v>
      </c>
      <c r="DJ329" s="21">
        <v>800</v>
      </c>
      <c r="DK329" s="21">
        <v>980.6</v>
      </c>
      <c r="DL329" s="96">
        <v>199400</v>
      </c>
      <c r="DM329" s="29" t="s">
        <v>5853</v>
      </c>
      <c r="DN329" s="310" t="s">
        <v>4435</v>
      </c>
      <c r="DO329" s="306" t="s">
        <v>4565</v>
      </c>
    </row>
    <row r="330" spans="1:119">
      <c r="A330" s="301">
        <v>325</v>
      </c>
      <c r="B330" s="349"/>
      <c r="C330" s="349"/>
      <c r="D330" s="363"/>
      <c r="E330" s="366"/>
      <c r="F330" s="349"/>
      <c r="G330" s="369"/>
      <c r="H330" s="369"/>
      <c r="I330" s="369"/>
      <c r="J330" s="286" t="s">
        <v>4733</v>
      </c>
      <c r="K330" s="301" t="s">
        <v>4383</v>
      </c>
      <c r="L330" s="310" t="s">
        <v>5791</v>
      </c>
      <c r="M330" s="301" t="s">
        <v>4507</v>
      </c>
      <c r="N330" s="310" t="s">
        <v>4700</v>
      </c>
      <c r="O330" s="18" t="s">
        <v>4506</v>
      </c>
      <c r="P330" s="310" t="s">
        <v>4470</v>
      </c>
      <c r="Q330" s="310" t="s">
        <v>4420</v>
      </c>
      <c r="R330" s="310" t="s">
        <v>6164</v>
      </c>
      <c r="S330" s="310">
        <v>16</v>
      </c>
      <c r="T330" s="59" t="s">
        <v>4420</v>
      </c>
      <c r="U330" s="59" t="s">
        <v>5791</v>
      </c>
      <c r="V330" s="59" t="s">
        <v>4420</v>
      </c>
      <c r="W330" s="59" t="s">
        <v>5791</v>
      </c>
      <c r="X330" s="310" t="s">
        <v>4420</v>
      </c>
      <c r="Y330" s="310" t="s">
        <v>5791</v>
      </c>
      <c r="Z330" s="310" t="s">
        <v>4558</v>
      </c>
      <c r="AA330" s="18">
        <v>8</v>
      </c>
      <c r="AB330" s="223">
        <v>0</v>
      </c>
      <c r="AC330" s="18">
        <v>0</v>
      </c>
      <c r="AD330" s="301" t="s">
        <v>6353</v>
      </c>
      <c r="AE330" s="21">
        <f>INDEX('[2]Cross-Section Database'!$C$2:$V$2928,MATCH(AD330,'[2]Cross-Section Database'!$B$2:$B$2928,0),3)</f>
        <v>260</v>
      </c>
      <c r="AF330" s="21">
        <f>INDEX('[2]Cross-Section Database'!$C$2:$V$2928,MATCH(AD330,'[2]Cross-Section Database'!$B$2:$B$2928,0),4)</f>
        <v>256</v>
      </c>
      <c r="AG330" s="21">
        <f>INDEX('[2]Cross-Section Database'!$C$2:$V$2928,MATCH(AD330,'[2]Cross-Section Database'!$B$2:$B$2928,0),6)</f>
        <v>17.3</v>
      </c>
      <c r="AH330" s="21">
        <f>INDEX('[2]Cross-Section Database'!$C$2:$V$2928,MATCH(AD330,'[2]Cross-Section Database'!$B$2:$B$2928,0),5)</f>
        <v>10.5</v>
      </c>
      <c r="AI330" s="21">
        <v>830</v>
      </c>
      <c r="AJ330" s="301" t="s">
        <v>6354</v>
      </c>
      <c r="AK330" s="21">
        <f>INDEX('[2]Cross-Section Database'!$C$2:$V$2928,MATCH(AJ330,'[2]Cross-Section Database'!$B$2:$B$2928,0),3)</f>
        <v>460</v>
      </c>
      <c r="AL330" s="21">
        <f>INDEX('[2]Cross-Section Database'!$C$2:$V$2928,MATCH(AJ330,'[2]Cross-Section Database'!$B$2:$B$2928,0),4)</f>
        <v>191</v>
      </c>
      <c r="AM330" s="21">
        <f>INDEX('[2]Cross-Section Database'!$C$2:$V$2928,MATCH(AJ330,'[2]Cross-Section Database'!$B$2:$B$2928,0),6)</f>
        <v>16</v>
      </c>
      <c r="AN330" s="21">
        <f>INDEX('[2]Cross-Section Database'!$C$2:$V$2928,MATCH(AJ330,'[2]Cross-Section Database'!$B$2:$B$2928,0),5)</f>
        <v>9.9</v>
      </c>
      <c r="AO330" s="21">
        <v>1250</v>
      </c>
      <c r="AP330" s="21">
        <f>INDEX('[2]Cross-Section Database'!$C$2:$V$3928,MATCH(AJ330,'[2]Cross-Section Database'!$B$2:$B$3928,0),11)</f>
        <v>372000000</v>
      </c>
      <c r="AQ330" s="24">
        <f>INDEX('[2]Cross-Section Database'!$C$2:$V$3928,MATCH(AJ330,'[2]Cross-Section Database'!$B$2:$B$3928,0),12)</f>
        <v>1840000</v>
      </c>
      <c r="AR330" s="21">
        <v>10</v>
      </c>
      <c r="AS330" s="21">
        <v>220</v>
      </c>
      <c r="AT330" s="21">
        <v>510</v>
      </c>
      <c r="AU330" s="21">
        <f t="shared" si="167"/>
        <v>25</v>
      </c>
      <c r="AV330" s="21">
        <f t="shared" si="162"/>
        <v>25</v>
      </c>
      <c r="AW330" s="301" t="s">
        <v>5806</v>
      </c>
      <c r="AX330" s="310" t="s">
        <v>4604</v>
      </c>
      <c r="AY330" s="21">
        <f t="shared" si="171"/>
        <v>50</v>
      </c>
      <c r="AZ330" s="310">
        <v>24</v>
      </c>
      <c r="BA330" s="310">
        <f t="shared" si="160"/>
        <v>353</v>
      </c>
      <c r="BB330" s="21">
        <v>85</v>
      </c>
      <c r="BC330" s="21">
        <f t="shared" si="165"/>
        <v>85</v>
      </c>
      <c r="BD330" s="21">
        <v>0</v>
      </c>
      <c r="BE330" s="21">
        <v>100</v>
      </c>
      <c r="BF330" s="21">
        <v>340</v>
      </c>
      <c r="BG330" s="15" t="s">
        <v>4470</v>
      </c>
      <c r="BH330" s="310" t="s">
        <v>6204</v>
      </c>
      <c r="BI330" s="310" t="s">
        <v>6204</v>
      </c>
      <c r="BJ330" s="310">
        <v>2</v>
      </c>
      <c r="BK330" s="310">
        <v>4</v>
      </c>
      <c r="BL330" s="301">
        <v>120</v>
      </c>
      <c r="BM330" s="310">
        <v>1100</v>
      </c>
      <c r="BN330" s="197" t="s">
        <v>5791</v>
      </c>
      <c r="BO330" s="197" t="s">
        <v>5791</v>
      </c>
      <c r="BP330" s="197" t="s">
        <v>5791</v>
      </c>
      <c r="BQ330" s="197" t="s">
        <v>5791</v>
      </c>
      <c r="BR330" s="197" t="s">
        <v>5791</v>
      </c>
      <c r="BS330" s="197" t="s">
        <v>5791</v>
      </c>
      <c r="BT330" s="301" t="s">
        <v>5856</v>
      </c>
      <c r="BU330" s="310">
        <v>4</v>
      </c>
      <c r="BV330" s="310">
        <v>2</v>
      </c>
      <c r="BW330" s="310">
        <v>16</v>
      </c>
      <c r="BX330" s="310">
        <v>120</v>
      </c>
      <c r="BY330" s="310">
        <v>120</v>
      </c>
      <c r="BZ330" s="18">
        <v>1050</v>
      </c>
      <c r="CA330" s="310" t="s">
        <v>4585</v>
      </c>
      <c r="CB330" s="310" t="s">
        <v>4584</v>
      </c>
      <c r="CC330" s="21">
        <f t="shared" si="178"/>
        <v>654.49846949787343</v>
      </c>
      <c r="CD330" s="21">
        <f>4*PI()*16^2/4+2*PI()*10^2/4</f>
        <v>961.32735199847673</v>
      </c>
      <c r="CE330" s="310">
        <v>30</v>
      </c>
      <c r="CF330" s="119">
        <f t="shared" ref="CF330:CF337" si="179">CD330/BL330/BM330</f>
        <v>7.2827829696854307E-3</v>
      </c>
      <c r="CG330" s="59" t="s">
        <v>5663</v>
      </c>
      <c r="CH330" s="59">
        <v>300</v>
      </c>
      <c r="CI330" s="46">
        <f t="shared" si="172"/>
        <v>340.25</v>
      </c>
      <c r="CJ330" s="21">
        <v>505</v>
      </c>
      <c r="CK330" s="21">
        <f t="shared" si="173"/>
        <v>523.75</v>
      </c>
      <c r="CL330" s="68">
        <f t="shared" si="174"/>
        <v>196900</v>
      </c>
      <c r="CM330" s="134" t="s">
        <v>5663</v>
      </c>
      <c r="CN330" s="59">
        <v>300</v>
      </c>
      <c r="CO330" s="46">
        <f t="shared" si="175"/>
        <v>375.5</v>
      </c>
      <c r="CP330" s="46">
        <v>505</v>
      </c>
      <c r="CQ330" s="21">
        <f t="shared" si="176"/>
        <v>541</v>
      </c>
      <c r="CR330" s="68">
        <f t="shared" si="177"/>
        <v>209800</v>
      </c>
      <c r="CS330" s="32" t="s">
        <v>4450</v>
      </c>
      <c r="CT330" s="59">
        <v>275</v>
      </c>
      <c r="CU330" s="21">
        <v>324.5</v>
      </c>
      <c r="CV330" s="46">
        <v>410</v>
      </c>
      <c r="CW330" s="21">
        <v>495.1</v>
      </c>
      <c r="CX330" s="60">
        <v>200000</v>
      </c>
      <c r="CY330" s="91" t="s">
        <v>5859</v>
      </c>
      <c r="CZ330" s="63">
        <v>49.5</v>
      </c>
      <c r="DA330" s="63">
        <v>4.5999999999999996</v>
      </c>
      <c r="DB330" s="68">
        <v>33889</v>
      </c>
      <c r="DC330" s="91">
        <v>543.1</v>
      </c>
      <c r="DD330" s="63">
        <v>639.70000000000005</v>
      </c>
      <c r="DE330" s="68">
        <v>200700</v>
      </c>
      <c r="DF330" s="274" t="s">
        <v>5791</v>
      </c>
      <c r="DG330" s="310">
        <v>8.8000000000000007</v>
      </c>
      <c r="DH330" s="310">
        <v>640</v>
      </c>
      <c r="DI330" s="21">
        <v>890.2</v>
      </c>
      <c r="DJ330" s="21">
        <v>800</v>
      </c>
      <c r="DK330" s="21">
        <v>980.6</v>
      </c>
      <c r="DL330" s="96">
        <v>199400</v>
      </c>
      <c r="DM330" s="29" t="s">
        <v>5854</v>
      </c>
      <c r="DN330" s="301" t="s">
        <v>4435</v>
      </c>
      <c r="DO330" s="306" t="s">
        <v>4565</v>
      </c>
    </row>
    <row r="331" spans="1:119">
      <c r="A331" s="301">
        <v>326</v>
      </c>
      <c r="B331" s="349"/>
      <c r="C331" s="349"/>
      <c r="D331" s="363"/>
      <c r="E331" s="366"/>
      <c r="F331" s="349"/>
      <c r="G331" s="369"/>
      <c r="H331" s="369"/>
      <c r="I331" s="369"/>
      <c r="J331" s="286" t="s">
        <v>4734</v>
      </c>
      <c r="K331" s="301" t="s">
        <v>4383</v>
      </c>
      <c r="L331" s="310" t="s">
        <v>5791</v>
      </c>
      <c r="M331" s="301" t="s">
        <v>4507</v>
      </c>
      <c r="N331" s="310" t="s">
        <v>4701</v>
      </c>
      <c r="O331" s="18" t="s">
        <v>4506</v>
      </c>
      <c r="P331" s="310" t="s">
        <v>4420</v>
      </c>
      <c r="Q331" s="310" t="s">
        <v>4470</v>
      </c>
      <c r="R331" s="310" t="s">
        <v>4420</v>
      </c>
      <c r="S331" s="310" t="s">
        <v>5791</v>
      </c>
      <c r="T331" s="59" t="s">
        <v>4420</v>
      </c>
      <c r="U331" s="59" t="s">
        <v>5791</v>
      </c>
      <c r="V331" s="59" t="s">
        <v>4420</v>
      </c>
      <c r="W331" s="59" t="s">
        <v>5791</v>
      </c>
      <c r="X331" s="310" t="s">
        <v>4420</v>
      </c>
      <c r="Y331" s="310" t="s">
        <v>5791</v>
      </c>
      <c r="Z331" s="310" t="s">
        <v>4558</v>
      </c>
      <c r="AA331" s="18">
        <v>8</v>
      </c>
      <c r="AB331" s="223">
        <v>0</v>
      </c>
      <c r="AC331" s="18">
        <v>0</v>
      </c>
      <c r="AD331" s="301" t="s">
        <v>6355</v>
      </c>
      <c r="AE331" s="21">
        <f>INDEX('[2]Cross-Section Database'!$C$2:$V$2928,MATCH(AD331,'[2]Cross-Section Database'!$B$2:$B$2928,0),3)</f>
        <v>250</v>
      </c>
      <c r="AF331" s="21">
        <f>INDEX('[2]Cross-Section Database'!$C$2:$V$2928,MATCH(AD331,'[2]Cross-Section Database'!$B$2:$B$2928,0),4)</f>
        <v>250</v>
      </c>
      <c r="AG331" s="21">
        <f>INDEX('[2]Cross-Section Database'!$C$2:$V$2928,MATCH(AD331,'[2]Cross-Section Database'!$B$2:$B$2928,0),6)</f>
        <v>12.5</v>
      </c>
      <c r="AH331" s="21">
        <f>INDEX('[2]Cross-Section Database'!$C$2:$V$2928,MATCH(AD331,'[2]Cross-Section Database'!$B$2:$B$2928,0),5)</f>
        <v>12.5</v>
      </c>
      <c r="AI331" s="21">
        <v>980</v>
      </c>
      <c r="AJ331" s="301" t="s">
        <v>6354</v>
      </c>
      <c r="AK331" s="21">
        <f>INDEX('[2]Cross-Section Database'!$C$2:$V$2928,MATCH(AJ331,'[2]Cross-Section Database'!$B$2:$B$2928,0),3)</f>
        <v>460</v>
      </c>
      <c r="AL331" s="21">
        <f>INDEX('[2]Cross-Section Database'!$C$2:$V$2928,MATCH(AJ331,'[2]Cross-Section Database'!$B$2:$B$2928,0),4)</f>
        <v>191</v>
      </c>
      <c r="AM331" s="21">
        <f>INDEX('[2]Cross-Section Database'!$C$2:$V$2928,MATCH(AJ331,'[2]Cross-Section Database'!$B$2:$B$2928,0),6)</f>
        <v>16</v>
      </c>
      <c r="AN331" s="21">
        <f>INDEX('[2]Cross-Section Database'!$C$2:$V$2928,MATCH(AJ331,'[2]Cross-Section Database'!$B$2:$B$2928,0),5)</f>
        <v>9.9</v>
      </c>
      <c r="AO331" s="21">
        <v>1400</v>
      </c>
      <c r="AP331" s="21">
        <f>INDEX('[2]Cross-Section Database'!$C$2:$V$3928,MATCH(AJ331,'[2]Cross-Section Database'!$B$2:$B$3928,0),11)</f>
        <v>372000000</v>
      </c>
      <c r="AQ331" s="24">
        <f>INDEX('[2]Cross-Section Database'!$C$2:$V$3928,MATCH(AJ331,'[2]Cross-Section Database'!$B$2:$B$3928,0),12)</f>
        <v>1840000</v>
      </c>
      <c r="AR331" s="21">
        <v>10</v>
      </c>
      <c r="AS331" s="21">
        <v>230</v>
      </c>
      <c r="AT331" s="21">
        <v>510</v>
      </c>
      <c r="AU331" s="21">
        <f t="shared" si="167"/>
        <v>25</v>
      </c>
      <c r="AV331" s="21">
        <f t="shared" si="162"/>
        <v>25</v>
      </c>
      <c r="AW331" s="301" t="s">
        <v>5658</v>
      </c>
      <c r="AX331" s="310" t="s">
        <v>4604</v>
      </c>
      <c r="AY331" s="21">
        <f t="shared" si="171"/>
        <v>60</v>
      </c>
      <c r="AZ331" s="310">
        <v>20</v>
      </c>
      <c r="BA331" s="310">
        <f t="shared" si="160"/>
        <v>245</v>
      </c>
      <c r="BB331" s="21">
        <v>95</v>
      </c>
      <c r="BC331" s="21">
        <f t="shared" si="165"/>
        <v>95</v>
      </c>
      <c r="BD331" s="21">
        <v>160</v>
      </c>
      <c r="BE331" s="21">
        <v>120</v>
      </c>
      <c r="BF331" s="21">
        <v>0</v>
      </c>
      <c r="BG331" s="15" t="s">
        <v>4470</v>
      </c>
      <c r="BH331" s="310" t="s">
        <v>6204</v>
      </c>
      <c r="BI331" s="310" t="s">
        <v>6204</v>
      </c>
      <c r="BJ331" s="310">
        <v>2</v>
      </c>
      <c r="BK331" s="310">
        <v>6</v>
      </c>
      <c r="BL331" s="196" t="s">
        <v>5791</v>
      </c>
      <c r="BM331" s="197" t="s">
        <v>5791</v>
      </c>
      <c r="BN331" s="197" t="s">
        <v>5791</v>
      </c>
      <c r="BO331" s="197" t="s">
        <v>5791</v>
      </c>
      <c r="BP331" s="197" t="s">
        <v>5791</v>
      </c>
      <c r="BQ331" s="197" t="s">
        <v>5791</v>
      </c>
      <c r="BR331" s="197" t="s">
        <v>5791</v>
      </c>
      <c r="BS331" s="197" t="s">
        <v>5791</v>
      </c>
      <c r="BT331" s="196" t="s">
        <v>5791</v>
      </c>
      <c r="BU331" s="197" t="s">
        <v>5791</v>
      </c>
      <c r="BV331" s="197" t="s">
        <v>5791</v>
      </c>
      <c r="BW331" s="197" t="s">
        <v>5791</v>
      </c>
      <c r="BX331" s="197" t="s">
        <v>5791</v>
      </c>
      <c r="BY331" s="197" t="s">
        <v>5791</v>
      </c>
      <c r="BZ331" s="212" t="s">
        <v>5791</v>
      </c>
      <c r="CA331" s="197" t="s">
        <v>5791</v>
      </c>
      <c r="CB331" s="197" t="s">
        <v>5791</v>
      </c>
      <c r="CC331" s="197" t="s">
        <v>5791</v>
      </c>
      <c r="CD331" s="197" t="s">
        <v>5791</v>
      </c>
      <c r="CE331" s="197" t="s">
        <v>5791</v>
      </c>
      <c r="CF331" s="212"/>
      <c r="CG331" s="59" t="s">
        <v>5663</v>
      </c>
      <c r="CH331" s="59">
        <v>300</v>
      </c>
      <c r="CI331" s="46">
        <f t="shared" si="172"/>
        <v>340.25</v>
      </c>
      <c r="CJ331" s="21">
        <v>505</v>
      </c>
      <c r="CK331" s="21">
        <f t="shared" si="173"/>
        <v>523.75</v>
      </c>
      <c r="CL331" s="68">
        <f t="shared" si="174"/>
        <v>196900</v>
      </c>
      <c r="CM331" s="134" t="s">
        <v>5663</v>
      </c>
      <c r="CN331" s="59">
        <v>300</v>
      </c>
      <c r="CO331" s="46">
        <f t="shared" si="175"/>
        <v>375.5</v>
      </c>
      <c r="CP331" s="46">
        <v>505</v>
      </c>
      <c r="CQ331" s="21">
        <f t="shared" si="176"/>
        <v>541</v>
      </c>
      <c r="CR331" s="68">
        <f t="shared" si="177"/>
        <v>209800</v>
      </c>
      <c r="CS331" s="32" t="s">
        <v>4450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201" t="s">
        <v>5791</v>
      </c>
      <c r="CZ331" s="202" t="s">
        <v>5791</v>
      </c>
      <c r="DA331" s="202" t="s">
        <v>5791</v>
      </c>
      <c r="DB331" s="203" t="s">
        <v>5791</v>
      </c>
      <c r="DC331" s="201" t="s">
        <v>5791</v>
      </c>
      <c r="DD331" s="202" t="s">
        <v>5791</v>
      </c>
      <c r="DE331" s="203" t="s">
        <v>5791</v>
      </c>
      <c r="DF331" s="274" t="s">
        <v>5791</v>
      </c>
      <c r="DG331" s="310">
        <v>8.8000000000000007</v>
      </c>
      <c r="DH331" s="310">
        <v>640</v>
      </c>
      <c r="DI331" s="21">
        <v>890.2</v>
      </c>
      <c r="DJ331" s="21">
        <v>800</v>
      </c>
      <c r="DK331" s="21">
        <v>980.6</v>
      </c>
      <c r="DL331" s="96">
        <v>199400</v>
      </c>
      <c r="DM331" s="29" t="s">
        <v>5837</v>
      </c>
      <c r="DN331" s="301" t="s">
        <v>4435</v>
      </c>
      <c r="DO331" s="306" t="s">
        <v>4565</v>
      </c>
    </row>
    <row r="332" spans="1:119" ht="15.6" customHeight="1">
      <c r="A332" s="301">
        <v>327</v>
      </c>
      <c r="B332" s="349"/>
      <c r="C332" s="349"/>
      <c r="D332" s="363"/>
      <c r="E332" s="366"/>
      <c r="F332" s="349"/>
      <c r="G332" s="369"/>
      <c r="H332" s="369"/>
      <c r="I332" s="369"/>
      <c r="J332" s="286" t="s">
        <v>4735</v>
      </c>
      <c r="K332" s="301" t="s">
        <v>4383</v>
      </c>
      <c r="L332" s="310" t="s">
        <v>5791</v>
      </c>
      <c r="M332" s="301" t="s">
        <v>4507</v>
      </c>
      <c r="N332" s="310" t="s">
        <v>4701</v>
      </c>
      <c r="O332" s="18" t="s">
        <v>4506</v>
      </c>
      <c r="P332" s="310" t="s">
        <v>6318</v>
      </c>
      <c r="Q332" s="310" t="s">
        <v>4470</v>
      </c>
      <c r="R332" s="310" t="s">
        <v>4420</v>
      </c>
      <c r="S332" s="310" t="s">
        <v>5791</v>
      </c>
      <c r="T332" s="59" t="s">
        <v>4420</v>
      </c>
      <c r="U332" s="59" t="s">
        <v>5791</v>
      </c>
      <c r="V332" s="59" t="s">
        <v>4420</v>
      </c>
      <c r="W332" s="59" t="s">
        <v>5791</v>
      </c>
      <c r="X332" s="310" t="s">
        <v>4420</v>
      </c>
      <c r="Y332" s="310" t="s">
        <v>5791</v>
      </c>
      <c r="Z332" s="310" t="s">
        <v>4558</v>
      </c>
      <c r="AA332" s="18">
        <v>8</v>
      </c>
      <c r="AB332" s="223">
        <v>0</v>
      </c>
      <c r="AC332" s="18">
        <v>0</v>
      </c>
      <c r="AD332" s="301" t="s">
        <v>6355</v>
      </c>
      <c r="AE332" s="21">
        <f>INDEX('[2]Cross-Section Database'!$C$2:$V$2928,MATCH(AD332,'[2]Cross-Section Database'!$B$2:$B$2928,0),3)</f>
        <v>250</v>
      </c>
      <c r="AF332" s="21">
        <f>INDEX('[2]Cross-Section Database'!$C$2:$V$2928,MATCH(AD332,'[2]Cross-Section Database'!$B$2:$B$2928,0),4)</f>
        <v>250</v>
      </c>
      <c r="AG332" s="21">
        <f>INDEX('[2]Cross-Section Database'!$C$2:$V$2928,MATCH(AD332,'[2]Cross-Section Database'!$B$2:$B$2928,0),6)</f>
        <v>12.5</v>
      </c>
      <c r="AH332" s="21">
        <f>INDEX('[2]Cross-Section Database'!$C$2:$V$2928,MATCH(AD332,'[2]Cross-Section Database'!$B$2:$B$2928,0),5)</f>
        <v>12.5</v>
      </c>
      <c r="AI332" s="21">
        <v>980</v>
      </c>
      <c r="AJ332" s="301" t="s">
        <v>6354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1400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10</v>
      </c>
      <c r="AS332" s="21">
        <v>230</v>
      </c>
      <c r="AT332" s="21">
        <v>510</v>
      </c>
      <c r="AU332" s="21">
        <f t="shared" si="167"/>
        <v>25</v>
      </c>
      <c r="AV332" s="21">
        <f t="shared" si="162"/>
        <v>25</v>
      </c>
      <c r="AW332" s="301" t="s">
        <v>5658</v>
      </c>
      <c r="AX332" s="310" t="s">
        <v>4604</v>
      </c>
      <c r="AY332" s="21">
        <f t="shared" si="171"/>
        <v>60</v>
      </c>
      <c r="AZ332" s="310">
        <v>20</v>
      </c>
      <c r="BA332" s="310">
        <f t="shared" si="160"/>
        <v>245</v>
      </c>
      <c r="BB332" s="21">
        <v>95</v>
      </c>
      <c r="BC332" s="21">
        <f t="shared" si="165"/>
        <v>95</v>
      </c>
      <c r="BD332" s="21">
        <v>160</v>
      </c>
      <c r="BE332" s="21">
        <v>120</v>
      </c>
      <c r="BF332" s="21">
        <v>0</v>
      </c>
      <c r="BG332" s="15" t="s">
        <v>4470</v>
      </c>
      <c r="BH332" s="310" t="s">
        <v>6204</v>
      </c>
      <c r="BI332" s="310" t="s">
        <v>6204</v>
      </c>
      <c r="BJ332" s="310">
        <v>2</v>
      </c>
      <c r="BK332" s="310">
        <v>6</v>
      </c>
      <c r="BL332" s="301">
        <v>120</v>
      </c>
      <c r="BM332" s="310">
        <v>1100</v>
      </c>
      <c r="BN332" s="197" t="s">
        <v>5791</v>
      </c>
      <c r="BO332" s="197" t="s">
        <v>5791</v>
      </c>
      <c r="BP332" s="197" t="s">
        <v>5791</v>
      </c>
      <c r="BQ332" s="197" t="s">
        <v>5791</v>
      </c>
      <c r="BR332" s="197" t="s">
        <v>5791</v>
      </c>
      <c r="BS332" s="197" t="s">
        <v>5791</v>
      </c>
      <c r="BT332" s="301" t="s">
        <v>5856</v>
      </c>
      <c r="BU332" s="310">
        <v>6</v>
      </c>
      <c r="BV332" s="310">
        <v>2</v>
      </c>
      <c r="BW332" s="310">
        <v>20</v>
      </c>
      <c r="BX332" s="310">
        <v>120</v>
      </c>
      <c r="BY332" s="310">
        <v>120</v>
      </c>
      <c r="BZ332" s="18">
        <v>550</v>
      </c>
      <c r="CA332" s="310" t="s">
        <v>4585</v>
      </c>
      <c r="CB332" s="310" t="s">
        <v>4584</v>
      </c>
      <c r="CC332" s="21">
        <f t="shared" ref="CC332:CC336" si="180">((BM332/150)+1)*PI()*10^2/4</f>
        <v>654.49846949787343</v>
      </c>
      <c r="CD332" s="21">
        <f t="shared" ref="CD332:CD337" si="181">4*PI()*16^2/4+2*PI()*10^2/4</f>
        <v>961.32735199847673</v>
      </c>
      <c r="CE332" s="310">
        <v>30</v>
      </c>
      <c r="CF332" s="119">
        <f t="shared" si="179"/>
        <v>7.2827829696854307E-3</v>
      </c>
      <c r="CG332" s="59" t="s">
        <v>5663</v>
      </c>
      <c r="CH332" s="59">
        <v>300</v>
      </c>
      <c r="CI332" s="46">
        <f t="shared" si="172"/>
        <v>340.25</v>
      </c>
      <c r="CJ332" s="21">
        <v>505</v>
      </c>
      <c r="CK332" s="21">
        <f t="shared" si="173"/>
        <v>523.75</v>
      </c>
      <c r="CL332" s="68">
        <f t="shared" si="174"/>
        <v>196900</v>
      </c>
      <c r="CM332" s="134" t="s">
        <v>5663</v>
      </c>
      <c r="CN332" s="59">
        <v>300</v>
      </c>
      <c r="CO332" s="46">
        <f t="shared" si="175"/>
        <v>375.5</v>
      </c>
      <c r="CP332" s="46">
        <v>505</v>
      </c>
      <c r="CQ332" s="21">
        <f t="shared" si="176"/>
        <v>541</v>
      </c>
      <c r="CR332" s="68">
        <f t="shared" si="177"/>
        <v>209800</v>
      </c>
      <c r="CS332" s="32" t="s">
        <v>4450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5859</v>
      </c>
      <c r="CZ332" s="63">
        <v>45</v>
      </c>
      <c r="DA332" s="63">
        <v>4.47</v>
      </c>
      <c r="DB332" s="68">
        <v>31680</v>
      </c>
      <c r="DC332" s="91">
        <v>543.1</v>
      </c>
      <c r="DD332" s="63">
        <v>639.70000000000005</v>
      </c>
      <c r="DE332" s="68">
        <v>200700</v>
      </c>
      <c r="DF332" s="274" t="s">
        <v>5791</v>
      </c>
      <c r="DG332" s="310">
        <v>8.8000000000000007</v>
      </c>
      <c r="DH332" s="310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5854</v>
      </c>
      <c r="DN332" s="301" t="s">
        <v>4435</v>
      </c>
      <c r="DO332" s="306" t="s">
        <v>4565</v>
      </c>
    </row>
    <row r="333" spans="1:119" ht="15.6" customHeight="1">
      <c r="A333" s="301">
        <v>328</v>
      </c>
      <c r="B333" s="349"/>
      <c r="C333" s="349"/>
      <c r="D333" s="363"/>
      <c r="E333" s="366"/>
      <c r="F333" s="349"/>
      <c r="G333" s="369"/>
      <c r="H333" s="369"/>
      <c r="I333" s="369"/>
      <c r="J333" s="286" t="s">
        <v>4736</v>
      </c>
      <c r="K333" s="301" t="s">
        <v>4383</v>
      </c>
      <c r="L333" s="310" t="s">
        <v>5791</v>
      </c>
      <c r="M333" s="301" t="s">
        <v>4507</v>
      </c>
      <c r="N333" s="310" t="s">
        <v>4701</v>
      </c>
      <c r="O333" s="18" t="s">
        <v>4506</v>
      </c>
      <c r="P333" s="310" t="s">
        <v>6318</v>
      </c>
      <c r="Q333" s="310" t="s">
        <v>4470</v>
      </c>
      <c r="R333" s="310" t="s">
        <v>4420</v>
      </c>
      <c r="S333" s="310" t="s">
        <v>5791</v>
      </c>
      <c r="T333" s="59" t="s">
        <v>4420</v>
      </c>
      <c r="U333" s="59" t="s">
        <v>5791</v>
      </c>
      <c r="V333" s="59" t="s">
        <v>4420</v>
      </c>
      <c r="W333" s="59" t="s">
        <v>5791</v>
      </c>
      <c r="X333" s="310" t="s">
        <v>4420</v>
      </c>
      <c r="Y333" s="310" t="s">
        <v>5791</v>
      </c>
      <c r="Z333" s="310" t="s">
        <v>4558</v>
      </c>
      <c r="AA333" s="18">
        <v>8</v>
      </c>
      <c r="AB333" s="223">
        <v>0</v>
      </c>
      <c r="AC333" s="18">
        <v>0</v>
      </c>
      <c r="AD333" s="301" t="s">
        <v>6355</v>
      </c>
      <c r="AE333" s="21">
        <f>INDEX('[2]Cross-Section Database'!$C$2:$V$2928,MATCH(AD333,'[2]Cross-Section Database'!$B$2:$B$2928,0),3)</f>
        <v>250</v>
      </c>
      <c r="AF333" s="21">
        <f>INDEX('[2]Cross-Section Database'!$C$2:$V$2928,MATCH(AD333,'[2]Cross-Section Database'!$B$2:$B$2928,0),4)</f>
        <v>250</v>
      </c>
      <c r="AG333" s="21">
        <f>INDEX('[2]Cross-Section Database'!$C$2:$V$2928,MATCH(AD333,'[2]Cross-Section Database'!$B$2:$B$2928,0),6)</f>
        <v>12.5</v>
      </c>
      <c r="AH333" s="21">
        <f>INDEX('[2]Cross-Section Database'!$C$2:$V$2928,MATCH(AD333,'[2]Cross-Section Database'!$B$2:$B$2928,0),5)</f>
        <v>12.5</v>
      </c>
      <c r="AI333" s="21">
        <v>980</v>
      </c>
      <c r="AJ333" s="301" t="s">
        <v>6354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1400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230</v>
      </c>
      <c r="AT333" s="21">
        <v>510</v>
      </c>
      <c r="AU333" s="21">
        <f t="shared" si="167"/>
        <v>25</v>
      </c>
      <c r="AV333" s="21">
        <f t="shared" si="162"/>
        <v>25</v>
      </c>
      <c r="AW333" s="301" t="s">
        <v>5658</v>
      </c>
      <c r="AX333" s="310" t="s">
        <v>4604</v>
      </c>
      <c r="AY333" s="21">
        <f t="shared" si="171"/>
        <v>60</v>
      </c>
      <c r="AZ333" s="310">
        <v>20</v>
      </c>
      <c r="BA333" s="310">
        <f t="shared" si="160"/>
        <v>245</v>
      </c>
      <c r="BB333" s="21">
        <v>95</v>
      </c>
      <c r="BC333" s="21">
        <f t="shared" si="165"/>
        <v>95</v>
      </c>
      <c r="BD333" s="21">
        <v>160</v>
      </c>
      <c r="BE333" s="21">
        <v>120</v>
      </c>
      <c r="BF333" s="21">
        <v>0</v>
      </c>
      <c r="BG333" s="15" t="s">
        <v>4470</v>
      </c>
      <c r="BH333" s="310" t="s">
        <v>6204</v>
      </c>
      <c r="BI333" s="310" t="s">
        <v>6204</v>
      </c>
      <c r="BJ333" s="310">
        <v>2</v>
      </c>
      <c r="BK333" s="310">
        <v>6</v>
      </c>
      <c r="BL333" s="301">
        <v>120</v>
      </c>
      <c r="BM333" s="310">
        <v>1100</v>
      </c>
      <c r="BN333" s="197" t="s">
        <v>5791</v>
      </c>
      <c r="BO333" s="197" t="s">
        <v>5791</v>
      </c>
      <c r="BP333" s="197" t="s">
        <v>5791</v>
      </c>
      <c r="BQ333" s="197" t="s">
        <v>5791</v>
      </c>
      <c r="BR333" s="197" t="s">
        <v>5791</v>
      </c>
      <c r="BS333" s="197" t="s">
        <v>5791</v>
      </c>
      <c r="BT333" s="301" t="s">
        <v>5856</v>
      </c>
      <c r="BU333" s="310">
        <v>6</v>
      </c>
      <c r="BV333" s="310">
        <v>2</v>
      </c>
      <c r="BW333" s="310">
        <v>16</v>
      </c>
      <c r="BX333" s="310">
        <v>120</v>
      </c>
      <c r="BY333" s="310">
        <v>120</v>
      </c>
      <c r="BZ333" s="18">
        <v>550</v>
      </c>
      <c r="CA333" s="310" t="s">
        <v>4585</v>
      </c>
      <c r="CB333" s="310" t="s">
        <v>4584</v>
      </c>
      <c r="CC333" s="21">
        <f t="shared" si="180"/>
        <v>654.49846949787343</v>
      </c>
      <c r="CD333" s="21">
        <f t="shared" si="181"/>
        <v>961.32735199847673</v>
      </c>
      <c r="CE333" s="310">
        <v>30</v>
      </c>
      <c r="CF333" s="119">
        <f t="shared" si="179"/>
        <v>7.2827829696854307E-3</v>
      </c>
      <c r="CG333" s="59" t="s">
        <v>5663</v>
      </c>
      <c r="CH333" s="59">
        <v>300</v>
      </c>
      <c r="CI333" s="46">
        <f t="shared" si="172"/>
        <v>340.25</v>
      </c>
      <c r="CJ333" s="21">
        <v>505</v>
      </c>
      <c r="CK333" s="21">
        <f t="shared" si="173"/>
        <v>523.75</v>
      </c>
      <c r="CL333" s="68">
        <f t="shared" si="174"/>
        <v>196900</v>
      </c>
      <c r="CM333" s="134" t="s">
        <v>5663</v>
      </c>
      <c r="CN333" s="59">
        <v>300</v>
      </c>
      <c r="CO333" s="46">
        <f t="shared" si="175"/>
        <v>375.5</v>
      </c>
      <c r="CP333" s="46">
        <v>505</v>
      </c>
      <c r="CQ333" s="21">
        <f t="shared" si="176"/>
        <v>541</v>
      </c>
      <c r="CR333" s="68">
        <f t="shared" si="177"/>
        <v>209800</v>
      </c>
      <c r="CS333" s="32" t="s">
        <v>4450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5859</v>
      </c>
      <c r="CZ333" s="63">
        <v>48.8</v>
      </c>
      <c r="DA333" s="63">
        <v>4.75</v>
      </c>
      <c r="DB333" s="68">
        <v>31680</v>
      </c>
      <c r="DC333" s="91">
        <v>543.1</v>
      </c>
      <c r="DD333" s="63">
        <v>639.70000000000005</v>
      </c>
      <c r="DE333" s="68">
        <v>200700</v>
      </c>
      <c r="DF333" s="274" t="s">
        <v>5791</v>
      </c>
      <c r="DG333" s="310">
        <v>8.8000000000000007</v>
      </c>
      <c r="DH333" s="310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5854</v>
      </c>
      <c r="DN333" s="301" t="s">
        <v>4435</v>
      </c>
      <c r="DO333" s="306" t="s">
        <v>4565</v>
      </c>
    </row>
    <row r="334" spans="1:119">
      <c r="A334" s="301">
        <v>329</v>
      </c>
      <c r="B334" s="349"/>
      <c r="C334" s="349"/>
      <c r="D334" s="363"/>
      <c r="E334" s="366"/>
      <c r="F334" s="349"/>
      <c r="G334" s="369"/>
      <c r="H334" s="369"/>
      <c r="I334" s="369"/>
      <c r="J334" s="286" t="s">
        <v>4737</v>
      </c>
      <c r="K334" s="301" t="s">
        <v>4383</v>
      </c>
      <c r="L334" s="310" t="s">
        <v>5791</v>
      </c>
      <c r="M334" s="301" t="s">
        <v>4507</v>
      </c>
      <c r="N334" s="310" t="s">
        <v>4701</v>
      </c>
      <c r="O334" s="18" t="s">
        <v>4506</v>
      </c>
      <c r="P334" s="310" t="s">
        <v>6318</v>
      </c>
      <c r="Q334" s="310" t="s">
        <v>4470</v>
      </c>
      <c r="R334" s="310" t="s">
        <v>4420</v>
      </c>
      <c r="S334" s="310" t="s">
        <v>5791</v>
      </c>
      <c r="T334" s="59" t="s">
        <v>4420</v>
      </c>
      <c r="U334" s="59" t="s">
        <v>5791</v>
      </c>
      <c r="V334" s="59" t="s">
        <v>4420</v>
      </c>
      <c r="W334" s="59" t="s">
        <v>5791</v>
      </c>
      <c r="X334" s="310" t="s">
        <v>4420</v>
      </c>
      <c r="Y334" s="310" t="s">
        <v>5791</v>
      </c>
      <c r="Z334" s="310" t="s">
        <v>4558</v>
      </c>
      <c r="AA334" s="18">
        <v>8</v>
      </c>
      <c r="AB334" s="223">
        <v>0</v>
      </c>
      <c r="AC334" s="18">
        <v>0</v>
      </c>
      <c r="AD334" s="301" t="s">
        <v>6355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1" t="s">
        <v>6354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8</v>
      </c>
      <c r="AS334" s="21">
        <v>230</v>
      </c>
      <c r="AT334" s="21">
        <v>510</v>
      </c>
      <c r="AU334" s="21">
        <f t="shared" si="167"/>
        <v>25</v>
      </c>
      <c r="AV334" s="21">
        <f t="shared" si="162"/>
        <v>25</v>
      </c>
      <c r="AW334" s="301" t="s">
        <v>5658</v>
      </c>
      <c r="AX334" s="310" t="s">
        <v>4500</v>
      </c>
      <c r="AY334" s="21">
        <v>145</v>
      </c>
      <c r="AZ334" s="310">
        <v>20</v>
      </c>
      <c r="BA334" s="310">
        <f t="shared" si="160"/>
        <v>245</v>
      </c>
      <c r="BB334" s="21">
        <v>95</v>
      </c>
      <c r="BC334" s="21">
        <f t="shared" si="165"/>
        <v>95</v>
      </c>
      <c r="BD334" s="21">
        <v>160</v>
      </c>
      <c r="BE334" s="21">
        <v>120</v>
      </c>
      <c r="BF334" s="21">
        <v>0</v>
      </c>
      <c r="BG334" s="15" t="s">
        <v>4470</v>
      </c>
      <c r="BH334" s="310" t="s">
        <v>6204</v>
      </c>
      <c r="BI334" s="310" t="s">
        <v>6204</v>
      </c>
      <c r="BJ334" s="310">
        <v>2</v>
      </c>
      <c r="BK334" s="310">
        <v>6</v>
      </c>
      <c r="BL334" s="301">
        <v>120</v>
      </c>
      <c r="BM334" s="310">
        <v>1100</v>
      </c>
      <c r="BN334" s="197" t="s">
        <v>5791</v>
      </c>
      <c r="BO334" s="197" t="s">
        <v>5791</v>
      </c>
      <c r="BP334" s="197" t="s">
        <v>5791</v>
      </c>
      <c r="BQ334" s="197" t="s">
        <v>5791</v>
      </c>
      <c r="BR334" s="197" t="s">
        <v>5791</v>
      </c>
      <c r="BS334" s="197" t="s">
        <v>5791</v>
      </c>
      <c r="BT334" s="301" t="s">
        <v>5856</v>
      </c>
      <c r="BU334" s="310">
        <v>6</v>
      </c>
      <c r="BV334" s="310">
        <v>2</v>
      </c>
      <c r="BW334" s="310">
        <v>20</v>
      </c>
      <c r="BX334" s="310">
        <v>120</v>
      </c>
      <c r="BY334" s="310">
        <v>120</v>
      </c>
      <c r="BZ334" s="18">
        <v>550</v>
      </c>
      <c r="CA334" s="310" t="s">
        <v>4585</v>
      </c>
      <c r="CB334" s="310" t="s">
        <v>4584</v>
      </c>
      <c r="CC334" s="21">
        <f t="shared" si="180"/>
        <v>654.49846949787343</v>
      </c>
      <c r="CD334" s="21">
        <f t="shared" si="181"/>
        <v>961.32735199847673</v>
      </c>
      <c r="CE334" s="310">
        <v>30</v>
      </c>
      <c r="CF334" s="119">
        <f t="shared" si="179"/>
        <v>7.2827829696854307E-3</v>
      </c>
      <c r="CG334" s="32" t="s">
        <v>4450</v>
      </c>
      <c r="CH334" s="46">
        <v>275</v>
      </c>
      <c r="CI334" s="46">
        <v>295.10000000000002</v>
      </c>
      <c r="CJ334" s="21">
        <v>410</v>
      </c>
      <c r="CK334" s="21">
        <v>425.2</v>
      </c>
      <c r="CL334" s="68">
        <v>200000</v>
      </c>
      <c r="CM334" s="134" t="s">
        <v>5663</v>
      </c>
      <c r="CN334" s="59">
        <v>300</v>
      </c>
      <c r="CO334" s="46">
        <v>368.5</v>
      </c>
      <c r="CP334" s="46">
        <v>505</v>
      </c>
      <c r="CQ334" s="21">
        <v>538.9</v>
      </c>
      <c r="CR334" s="68">
        <v>208500</v>
      </c>
      <c r="CS334" s="310" t="s">
        <v>4385</v>
      </c>
      <c r="CT334" s="46">
        <v>690</v>
      </c>
      <c r="CU334" s="21">
        <v>817.7</v>
      </c>
      <c r="CV334" s="46">
        <v>770</v>
      </c>
      <c r="CW334" s="21">
        <v>832.1</v>
      </c>
      <c r="CX334" s="61">
        <v>202000</v>
      </c>
      <c r="CY334" s="91" t="s">
        <v>5859</v>
      </c>
      <c r="CZ334" s="63">
        <v>48.8</v>
      </c>
      <c r="DA334" s="63">
        <v>4.75</v>
      </c>
      <c r="DB334" s="68">
        <v>32470</v>
      </c>
      <c r="DC334" s="91">
        <v>580</v>
      </c>
      <c r="DD334" s="63">
        <v>710</v>
      </c>
      <c r="DE334" s="68">
        <v>200000</v>
      </c>
      <c r="DF334" s="274" t="s">
        <v>5791</v>
      </c>
      <c r="DG334" s="310">
        <v>8.8000000000000007</v>
      </c>
      <c r="DH334" s="310">
        <v>640</v>
      </c>
      <c r="DI334" s="21">
        <v>890</v>
      </c>
      <c r="DJ334" s="21">
        <v>800</v>
      </c>
      <c r="DK334" s="21">
        <v>980</v>
      </c>
      <c r="DL334" s="61">
        <v>199000</v>
      </c>
      <c r="DM334" s="29" t="s">
        <v>5854</v>
      </c>
      <c r="DN334" s="301" t="s">
        <v>4435</v>
      </c>
      <c r="DO334" s="306" t="s">
        <v>4565</v>
      </c>
    </row>
    <row r="335" spans="1:119">
      <c r="A335" s="301">
        <v>330</v>
      </c>
      <c r="B335" s="349"/>
      <c r="C335" s="349"/>
      <c r="D335" s="363"/>
      <c r="E335" s="366"/>
      <c r="F335" s="349"/>
      <c r="G335" s="369"/>
      <c r="H335" s="369"/>
      <c r="I335" s="369"/>
      <c r="J335" s="286" t="s">
        <v>4738</v>
      </c>
      <c r="K335" s="301" t="s">
        <v>4383</v>
      </c>
      <c r="L335" s="310" t="s">
        <v>5791</v>
      </c>
      <c r="M335" s="301" t="s">
        <v>4507</v>
      </c>
      <c r="N335" s="310" t="s">
        <v>4701</v>
      </c>
      <c r="O335" s="18" t="s">
        <v>4506</v>
      </c>
      <c r="P335" s="310" t="s">
        <v>6318</v>
      </c>
      <c r="Q335" s="310" t="s">
        <v>4470</v>
      </c>
      <c r="R335" s="310" t="s">
        <v>4420</v>
      </c>
      <c r="S335" s="310" t="s">
        <v>5791</v>
      </c>
      <c r="T335" s="59" t="s">
        <v>4420</v>
      </c>
      <c r="U335" s="59" t="s">
        <v>5791</v>
      </c>
      <c r="V335" s="59" t="s">
        <v>4420</v>
      </c>
      <c r="W335" s="59" t="s">
        <v>5791</v>
      </c>
      <c r="X335" s="310" t="s">
        <v>4420</v>
      </c>
      <c r="Y335" s="310" t="s">
        <v>5791</v>
      </c>
      <c r="Z335" s="310" t="s">
        <v>4558</v>
      </c>
      <c r="AA335" s="18">
        <v>8</v>
      </c>
      <c r="AB335" s="223">
        <v>0</v>
      </c>
      <c r="AC335" s="18">
        <v>0</v>
      </c>
      <c r="AD335" s="301" t="s">
        <v>6355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1" t="s">
        <v>6354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8</v>
      </c>
      <c r="AS335" s="21">
        <v>230</v>
      </c>
      <c r="AT335" s="21">
        <v>510</v>
      </c>
      <c r="AU335" s="21">
        <f t="shared" si="167"/>
        <v>25</v>
      </c>
      <c r="AV335" s="21">
        <f t="shared" si="162"/>
        <v>25</v>
      </c>
      <c r="AW335" s="301" t="s">
        <v>5658</v>
      </c>
      <c r="AX335" s="310" t="s">
        <v>4500</v>
      </c>
      <c r="AY335" s="21">
        <v>95</v>
      </c>
      <c r="AZ335" s="310">
        <v>20</v>
      </c>
      <c r="BA335" s="310">
        <f t="shared" si="160"/>
        <v>245</v>
      </c>
      <c r="BB335" s="21">
        <v>95</v>
      </c>
      <c r="BC335" s="21">
        <f t="shared" si="165"/>
        <v>95</v>
      </c>
      <c r="BD335" s="21">
        <v>160</v>
      </c>
      <c r="BE335" s="21">
        <v>120</v>
      </c>
      <c r="BF335" s="21">
        <v>0</v>
      </c>
      <c r="BG335" s="15" t="s">
        <v>4470</v>
      </c>
      <c r="BH335" s="310" t="s">
        <v>6204</v>
      </c>
      <c r="BI335" s="310" t="s">
        <v>6204</v>
      </c>
      <c r="BJ335" s="310">
        <v>2</v>
      </c>
      <c r="BK335" s="310">
        <v>6</v>
      </c>
      <c r="BL335" s="301">
        <v>120</v>
      </c>
      <c r="BM335" s="310">
        <v>1100</v>
      </c>
      <c r="BN335" s="197" t="s">
        <v>5791</v>
      </c>
      <c r="BO335" s="197" t="s">
        <v>5791</v>
      </c>
      <c r="BP335" s="197" t="s">
        <v>5791</v>
      </c>
      <c r="BQ335" s="197" t="s">
        <v>5791</v>
      </c>
      <c r="BR335" s="197" t="s">
        <v>5791</v>
      </c>
      <c r="BS335" s="197" t="s">
        <v>5791</v>
      </c>
      <c r="BT335" s="301" t="s">
        <v>5856</v>
      </c>
      <c r="BU335" s="310">
        <v>6</v>
      </c>
      <c r="BV335" s="310">
        <v>2</v>
      </c>
      <c r="BW335" s="310">
        <v>16</v>
      </c>
      <c r="BX335" s="310">
        <v>120</v>
      </c>
      <c r="BY335" s="310">
        <v>120</v>
      </c>
      <c r="BZ335" s="18">
        <v>550</v>
      </c>
      <c r="CA335" s="310" t="s">
        <v>4585</v>
      </c>
      <c r="CB335" s="310" t="s">
        <v>4584</v>
      </c>
      <c r="CC335" s="21">
        <f t="shared" si="180"/>
        <v>654.49846949787343</v>
      </c>
      <c r="CD335" s="21">
        <f t="shared" si="181"/>
        <v>961.32735199847673</v>
      </c>
      <c r="CE335" s="310">
        <v>30</v>
      </c>
      <c r="CF335" s="119">
        <f t="shared" si="179"/>
        <v>7.2827829696854307E-3</v>
      </c>
      <c r="CG335" s="32" t="s">
        <v>4450</v>
      </c>
      <c r="CH335" s="59">
        <v>275</v>
      </c>
      <c r="CI335" s="21">
        <v>295.10000000000002</v>
      </c>
      <c r="CJ335" s="21">
        <v>410</v>
      </c>
      <c r="CK335" s="21">
        <v>425.2</v>
      </c>
      <c r="CL335" s="68">
        <v>200000</v>
      </c>
      <c r="CM335" s="134" t="s">
        <v>5663</v>
      </c>
      <c r="CN335" s="59">
        <v>300</v>
      </c>
      <c r="CO335" s="46">
        <v>368.5</v>
      </c>
      <c r="CP335" s="46">
        <v>505</v>
      </c>
      <c r="CQ335" s="21">
        <v>538.9</v>
      </c>
      <c r="CR335" s="68">
        <v>208500</v>
      </c>
      <c r="CS335" s="310" t="s">
        <v>4385</v>
      </c>
      <c r="CT335" s="46">
        <v>690</v>
      </c>
      <c r="CU335" s="21">
        <v>817.7</v>
      </c>
      <c r="CV335" s="46">
        <v>770</v>
      </c>
      <c r="CW335" s="21">
        <v>832.1</v>
      </c>
      <c r="CX335" s="61">
        <v>202000</v>
      </c>
      <c r="CY335" s="91" t="s">
        <v>5859</v>
      </c>
      <c r="CZ335" s="63">
        <v>48.1</v>
      </c>
      <c r="DA335" s="63">
        <v>4.5999999999999996</v>
      </c>
      <c r="DB335" s="68">
        <v>32470</v>
      </c>
      <c r="DC335" s="91">
        <v>580</v>
      </c>
      <c r="DD335" s="63">
        <v>710</v>
      </c>
      <c r="DE335" s="68">
        <v>200000</v>
      </c>
      <c r="DF335" s="274" t="s">
        <v>5791</v>
      </c>
      <c r="DG335" s="310">
        <v>8.8000000000000007</v>
      </c>
      <c r="DH335" s="310">
        <v>640</v>
      </c>
      <c r="DI335" s="21">
        <v>890</v>
      </c>
      <c r="DJ335" s="21">
        <v>800</v>
      </c>
      <c r="DK335" s="21">
        <v>980</v>
      </c>
      <c r="DL335" s="61">
        <v>199000</v>
      </c>
      <c r="DM335" s="29" t="s">
        <v>5854</v>
      </c>
      <c r="DN335" s="301" t="s">
        <v>4435</v>
      </c>
      <c r="DO335" s="306" t="s">
        <v>4565</v>
      </c>
    </row>
    <row r="336" spans="1:119">
      <c r="A336" s="301">
        <v>331</v>
      </c>
      <c r="B336" s="349"/>
      <c r="C336" s="349"/>
      <c r="D336" s="363"/>
      <c r="E336" s="366"/>
      <c r="F336" s="349"/>
      <c r="G336" s="369"/>
      <c r="H336" s="369"/>
      <c r="I336" s="369"/>
      <c r="J336" s="286" t="s">
        <v>4739</v>
      </c>
      <c r="K336" s="301" t="s">
        <v>4383</v>
      </c>
      <c r="L336" s="310" t="s">
        <v>5791</v>
      </c>
      <c r="M336" s="301" t="s">
        <v>4507</v>
      </c>
      <c r="N336" s="310" t="s">
        <v>4701</v>
      </c>
      <c r="O336" s="18" t="s">
        <v>4506</v>
      </c>
      <c r="P336" s="310" t="s">
        <v>6318</v>
      </c>
      <c r="Q336" s="310" t="s">
        <v>4420</v>
      </c>
      <c r="R336" s="310" t="s">
        <v>4420</v>
      </c>
      <c r="S336" s="310" t="s">
        <v>5791</v>
      </c>
      <c r="T336" s="59" t="s">
        <v>4420</v>
      </c>
      <c r="U336" s="59" t="s">
        <v>5791</v>
      </c>
      <c r="V336" s="59" t="s">
        <v>4420</v>
      </c>
      <c r="W336" s="59" t="s">
        <v>5791</v>
      </c>
      <c r="X336" s="310" t="s">
        <v>4420</v>
      </c>
      <c r="Y336" s="310" t="s">
        <v>5791</v>
      </c>
      <c r="Z336" s="310" t="s">
        <v>4558</v>
      </c>
      <c r="AA336" s="18">
        <v>8</v>
      </c>
      <c r="AB336" s="223">
        <v>0</v>
      </c>
      <c r="AC336" s="18">
        <v>0</v>
      </c>
      <c r="AD336" s="301" t="s">
        <v>6353</v>
      </c>
      <c r="AE336" s="21">
        <f>INDEX('[2]Cross-Section Database'!$C$2:$V$2928,MATCH(AD336,'[2]Cross-Section Database'!$B$2:$B$2928,0),3)</f>
        <v>260</v>
      </c>
      <c r="AF336" s="21">
        <f>INDEX('[2]Cross-Section Database'!$C$2:$V$2928,MATCH(AD336,'[2]Cross-Section Database'!$B$2:$B$2928,0),4)</f>
        <v>256</v>
      </c>
      <c r="AG336" s="21">
        <f>INDEX('[2]Cross-Section Database'!$C$2:$V$2928,MATCH(AD336,'[2]Cross-Section Database'!$B$2:$B$2928,0),6)</f>
        <v>17.3</v>
      </c>
      <c r="AH336" s="21">
        <f>INDEX('[2]Cross-Section Database'!$C$2:$V$2928,MATCH(AD336,'[2]Cross-Section Database'!$B$2:$B$2928,0),5)</f>
        <v>10.5</v>
      </c>
      <c r="AI336" s="21">
        <v>980</v>
      </c>
      <c r="AJ336" s="301" t="s">
        <v>6354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8</v>
      </c>
      <c r="AS336" s="21">
        <v>230</v>
      </c>
      <c r="AT336" s="21">
        <v>510</v>
      </c>
      <c r="AU336" s="21">
        <f t="shared" si="167"/>
        <v>25</v>
      </c>
      <c r="AV336" s="21">
        <f t="shared" si="162"/>
        <v>25</v>
      </c>
      <c r="AW336" s="301" t="s">
        <v>5806</v>
      </c>
      <c r="AX336" s="310" t="s">
        <v>4500</v>
      </c>
      <c r="AY336" s="21">
        <v>95</v>
      </c>
      <c r="AZ336" s="310">
        <v>24</v>
      </c>
      <c r="BA336" s="310">
        <f t="shared" si="160"/>
        <v>353</v>
      </c>
      <c r="BB336" s="21">
        <v>95</v>
      </c>
      <c r="BC336" s="21">
        <f t="shared" si="165"/>
        <v>95</v>
      </c>
      <c r="BD336" s="21">
        <v>0</v>
      </c>
      <c r="BE336" s="21">
        <v>120</v>
      </c>
      <c r="BF336" s="21">
        <f>AT336-BB336-BC336-BD336</f>
        <v>320</v>
      </c>
      <c r="BG336" s="15" t="s">
        <v>6318</v>
      </c>
      <c r="BH336" s="310" t="s">
        <v>6204</v>
      </c>
      <c r="BI336" s="310" t="s">
        <v>6204</v>
      </c>
      <c r="BJ336" s="310">
        <v>2</v>
      </c>
      <c r="BK336" s="310">
        <v>4</v>
      </c>
      <c r="BL336" s="301">
        <v>120</v>
      </c>
      <c r="BM336" s="310">
        <v>1100</v>
      </c>
      <c r="BN336" s="197" t="s">
        <v>5791</v>
      </c>
      <c r="BO336" s="197" t="s">
        <v>5791</v>
      </c>
      <c r="BP336" s="197" t="s">
        <v>5791</v>
      </c>
      <c r="BQ336" s="197" t="s">
        <v>5791</v>
      </c>
      <c r="BR336" s="197" t="s">
        <v>5791</v>
      </c>
      <c r="BS336" s="197" t="s">
        <v>5791</v>
      </c>
      <c r="BT336" s="301" t="s">
        <v>5856</v>
      </c>
      <c r="BU336" s="310">
        <v>4</v>
      </c>
      <c r="BV336" s="310">
        <v>2</v>
      </c>
      <c r="BW336" s="310">
        <v>16</v>
      </c>
      <c r="BX336" s="310">
        <v>120</v>
      </c>
      <c r="BY336" s="310">
        <v>120</v>
      </c>
      <c r="BZ336" s="18">
        <v>550</v>
      </c>
      <c r="CA336" s="310" t="s">
        <v>4585</v>
      </c>
      <c r="CB336" s="310" t="s">
        <v>4584</v>
      </c>
      <c r="CC336" s="21">
        <f t="shared" si="180"/>
        <v>654.49846949787343</v>
      </c>
      <c r="CD336" s="21">
        <f t="shared" si="181"/>
        <v>961.32735199847673</v>
      </c>
      <c r="CE336" s="310">
        <v>30</v>
      </c>
      <c r="CF336" s="119">
        <f t="shared" si="179"/>
        <v>7.2827829696854307E-3</v>
      </c>
      <c r="CG336" s="32" t="s">
        <v>4450</v>
      </c>
      <c r="CH336" s="59">
        <v>275</v>
      </c>
      <c r="CI336" s="21">
        <v>340.5</v>
      </c>
      <c r="CJ336" s="21">
        <v>410</v>
      </c>
      <c r="CK336" s="21">
        <v>523.75</v>
      </c>
      <c r="CL336" s="68">
        <v>197000</v>
      </c>
      <c r="CM336" s="134" t="s">
        <v>5663</v>
      </c>
      <c r="CN336" s="59">
        <v>300</v>
      </c>
      <c r="CO336" s="46">
        <v>368.5</v>
      </c>
      <c r="CP336" s="46">
        <v>505</v>
      </c>
      <c r="CQ336" s="21">
        <v>538.9</v>
      </c>
      <c r="CR336" s="68">
        <v>208500</v>
      </c>
      <c r="CS336" s="310" t="s">
        <v>4385</v>
      </c>
      <c r="CT336" s="46">
        <v>690</v>
      </c>
      <c r="CU336" s="21">
        <v>817.7</v>
      </c>
      <c r="CV336" s="46">
        <v>770</v>
      </c>
      <c r="CW336" s="21">
        <v>832.1</v>
      </c>
      <c r="CX336" s="61">
        <v>202000</v>
      </c>
      <c r="CY336" s="91" t="s">
        <v>5859</v>
      </c>
      <c r="CZ336" s="63">
        <v>48.9</v>
      </c>
      <c r="DA336" s="63">
        <v>4.78</v>
      </c>
      <c r="DB336" s="68">
        <v>32470</v>
      </c>
      <c r="DC336" s="91">
        <v>580</v>
      </c>
      <c r="DD336" s="63">
        <v>710</v>
      </c>
      <c r="DE336" s="68">
        <v>200000</v>
      </c>
      <c r="DF336" s="274" t="s">
        <v>5791</v>
      </c>
      <c r="DG336" s="310">
        <v>10.9</v>
      </c>
      <c r="DH336" s="310">
        <v>900</v>
      </c>
      <c r="DI336" s="32">
        <v>990</v>
      </c>
      <c r="DJ336" s="310">
        <v>1000</v>
      </c>
      <c r="DK336" s="32">
        <v>1100</v>
      </c>
      <c r="DL336" s="60">
        <v>200000</v>
      </c>
      <c r="DM336" s="29" t="s">
        <v>5854</v>
      </c>
      <c r="DN336" s="301" t="s">
        <v>4435</v>
      </c>
      <c r="DO336" s="306" t="s">
        <v>4565</v>
      </c>
    </row>
    <row r="337" spans="1:119" ht="16.2" thickBot="1">
      <c r="A337" s="308">
        <v>332</v>
      </c>
      <c r="B337" s="350"/>
      <c r="C337" s="350"/>
      <c r="D337" s="364"/>
      <c r="E337" s="367"/>
      <c r="F337" s="350"/>
      <c r="G337" s="370"/>
      <c r="H337" s="370"/>
      <c r="I337" s="370"/>
      <c r="J337" s="285" t="s">
        <v>4740</v>
      </c>
      <c r="K337" s="308" t="s">
        <v>4383</v>
      </c>
      <c r="L337" s="311" t="s">
        <v>5791</v>
      </c>
      <c r="M337" s="308" t="s">
        <v>4507</v>
      </c>
      <c r="N337" s="311" t="s">
        <v>4701</v>
      </c>
      <c r="O337" s="14" t="s">
        <v>4506</v>
      </c>
      <c r="P337" s="311" t="s">
        <v>6318</v>
      </c>
      <c r="Q337" s="311" t="s">
        <v>4420</v>
      </c>
      <c r="R337" s="311" t="s">
        <v>4420</v>
      </c>
      <c r="S337" s="311" t="s">
        <v>5791</v>
      </c>
      <c r="T337" s="86" t="s">
        <v>4420</v>
      </c>
      <c r="U337" s="86" t="s">
        <v>5791</v>
      </c>
      <c r="V337" s="86" t="s">
        <v>4420</v>
      </c>
      <c r="W337" s="86" t="s">
        <v>5791</v>
      </c>
      <c r="X337" s="311" t="s">
        <v>4420</v>
      </c>
      <c r="Y337" s="311" t="s">
        <v>5791</v>
      </c>
      <c r="Z337" s="311" t="s">
        <v>4558</v>
      </c>
      <c r="AA337" s="14">
        <v>8</v>
      </c>
      <c r="AB337" s="228">
        <v>0</v>
      </c>
      <c r="AC337" s="14">
        <v>0</v>
      </c>
      <c r="AD337" s="301" t="s">
        <v>6353</v>
      </c>
      <c r="AE337" s="21">
        <f>INDEX('[2]Cross-Section Database'!$C$2:$V$2928,MATCH(AD337,'[2]Cross-Section Database'!$B$2:$B$2928,0),3)</f>
        <v>260</v>
      </c>
      <c r="AF337" s="21">
        <f>INDEX('[2]Cross-Section Database'!$C$2:$V$2928,MATCH(AD337,'[2]Cross-Section Database'!$B$2:$B$2928,0),4)</f>
        <v>256</v>
      </c>
      <c r="AG337" s="21">
        <f>INDEX('[2]Cross-Section Database'!$C$2:$V$2928,MATCH(AD337,'[2]Cross-Section Database'!$B$2:$B$2928,0),6)</f>
        <v>17.3</v>
      </c>
      <c r="AH337" s="21">
        <f>INDEX('[2]Cross-Section Database'!$C$2:$V$2928,MATCH(AD337,'[2]Cross-Section Database'!$B$2:$B$2928,0),5)</f>
        <v>10.5</v>
      </c>
      <c r="AI337" s="21">
        <v>980</v>
      </c>
      <c r="AJ337" s="308" t="s">
        <v>6354</v>
      </c>
      <c r="AK337" s="23">
        <f>INDEX('[2]Cross-Section Database'!$C$2:$V$2928,MATCH(AJ337,'[2]Cross-Section Database'!$B$2:$B$2928,0),3)</f>
        <v>460</v>
      </c>
      <c r="AL337" s="23">
        <f>INDEX('[2]Cross-Section Database'!$C$2:$V$2928,MATCH(AJ337,'[2]Cross-Section Database'!$B$2:$B$2928,0),4)</f>
        <v>191</v>
      </c>
      <c r="AM337" s="23">
        <f>INDEX('[2]Cross-Section Database'!$C$2:$V$2928,MATCH(AJ337,'[2]Cross-Section Database'!$B$2:$B$2928,0),6)</f>
        <v>16</v>
      </c>
      <c r="AN337" s="23">
        <f>INDEX('[2]Cross-Section Database'!$C$2:$V$2928,MATCH(AJ337,'[2]Cross-Section Database'!$B$2:$B$2928,0),5)</f>
        <v>9.9</v>
      </c>
      <c r="AO337" s="23">
        <v>1400</v>
      </c>
      <c r="AP337" s="23">
        <f>INDEX('[2]Cross-Section Database'!$C$2:$V$3928,MATCH(AJ337,'[2]Cross-Section Database'!$B$2:$B$3928,0),11)</f>
        <v>372000000</v>
      </c>
      <c r="AQ337" s="25">
        <f>INDEX('[2]Cross-Section Database'!$C$2:$V$3928,MATCH(AJ337,'[2]Cross-Section Database'!$B$2:$B$3928,0),12)</f>
        <v>1840000</v>
      </c>
      <c r="AR337" s="23">
        <v>8</v>
      </c>
      <c r="AS337" s="23">
        <v>230</v>
      </c>
      <c r="AT337" s="23">
        <v>510</v>
      </c>
      <c r="AU337" s="23">
        <f t="shared" si="167"/>
        <v>25</v>
      </c>
      <c r="AV337" s="23">
        <f t="shared" si="162"/>
        <v>25</v>
      </c>
      <c r="AW337" s="301" t="s">
        <v>5806</v>
      </c>
      <c r="AX337" s="310" t="s">
        <v>4500</v>
      </c>
      <c r="AY337" s="21">
        <v>145</v>
      </c>
      <c r="AZ337" s="310">
        <v>24</v>
      </c>
      <c r="BA337" s="310">
        <f t="shared" si="160"/>
        <v>353</v>
      </c>
      <c r="BB337" s="21">
        <v>95</v>
      </c>
      <c r="BC337" s="21">
        <f t="shared" si="165"/>
        <v>95</v>
      </c>
      <c r="BD337" s="21">
        <v>0</v>
      </c>
      <c r="BE337" s="21">
        <v>120</v>
      </c>
      <c r="BF337" s="21">
        <f>AT337-BB337-BC337-BD337</f>
        <v>320</v>
      </c>
      <c r="BG337" s="15" t="s">
        <v>6318</v>
      </c>
      <c r="BH337" s="310" t="s">
        <v>6204</v>
      </c>
      <c r="BI337" s="310" t="s">
        <v>6204</v>
      </c>
      <c r="BJ337" s="310">
        <v>2</v>
      </c>
      <c r="BK337" s="310">
        <v>4</v>
      </c>
      <c r="BL337" s="301">
        <v>120</v>
      </c>
      <c r="BM337" s="310">
        <v>1100</v>
      </c>
      <c r="BN337" s="197" t="s">
        <v>5791</v>
      </c>
      <c r="BO337" s="197" t="s">
        <v>5791</v>
      </c>
      <c r="BP337" s="197" t="s">
        <v>5791</v>
      </c>
      <c r="BQ337" s="197" t="s">
        <v>5791</v>
      </c>
      <c r="BR337" s="197" t="s">
        <v>5791</v>
      </c>
      <c r="BS337" s="197" t="s">
        <v>5791</v>
      </c>
      <c r="BT337" s="301" t="s">
        <v>5856</v>
      </c>
      <c r="BU337" s="310">
        <v>4</v>
      </c>
      <c r="BV337" s="310">
        <v>2</v>
      </c>
      <c r="BW337" s="310">
        <v>20</v>
      </c>
      <c r="BX337" s="310">
        <v>120</v>
      </c>
      <c r="BY337" s="310">
        <v>120</v>
      </c>
      <c r="BZ337" s="18">
        <v>550</v>
      </c>
      <c r="CA337" s="310" t="s">
        <v>4585</v>
      </c>
      <c r="CB337" s="310" t="s">
        <v>4584</v>
      </c>
      <c r="CC337" s="23">
        <f>((BM337/150)+1)*PI()*10^2/4</f>
        <v>654.49846949787343</v>
      </c>
      <c r="CD337" s="21">
        <f t="shared" si="181"/>
        <v>961.32735199847673</v>
      </c>
      <c r="CE337" s="310">
        <v>30</v>
      </c>
      <c r="CF337" s="119">
        <f t="shared" si="179"/>
        <v>7.2827829696854307E-3</v>
      </c>
      <c r="CG337" s="32" t="s">
        <v>4450</v>
      </c>
      <c r="CH337" s="59">
        <v>275</v>
      </c>
      <c r="CI337" s="23">
        <v>340.5</v>
      </c>
      <c r="CJ337" s="23">
        <v>410</v>
      </c>
      <c r="CK337" s="23">
        <v>523.75</v>
      </c>
      <c r="CL337" s="67">
        <v>197000</v>
      </c>
      <c r="CM337" s="134" t="s">
        <v>5663</v>
      </c>
      <c r="CN337" s="59">
        <v>300</v>
      </c>
      <c r="CO337" s="46">
        <v>368.5</v>
      </c>
      <c r="CP337" s="46">
        <v>505</v>
      </c>
      <c r="CQ337" s="38">
        <v>538.9</v>
      </c>
      <c r="CR337" s="67">
        <v>208500</v>
      </c>
      <c r="CS337" s="310" t="s">
        <v>4385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5859</v>
      </c>
      <c r="CZ337" s="83">
        <v>49.1</v>
      </c>
      <c r="DA337" s="83">
        <v>4.8099999999999996</v>
      </c>
      <c r="DB337" s="82">
        <v>32470</v>
      </c>
      <c r="DC337" s="92">
        <v>580</v>
      </c>
      <c r="DD337" s="83">
        <v>710</v>
      </c>
      <c r="DE337" s="82">
        <v>200000</v>
      </c>
      <c r="DF337" s="274" t="s">
        <v>5791</v>
      </c>
      <c r="DG337" s="310">
        <v>10.9</v>
      </c>
      <c r="DH337" s="310">
        <v>900</v>
      </c>
      <c r="DI337" s="32">
        <v>990</v>
      </c>
      <c r="DJ337" s="310">
        <v>1000</v>
      </c>
      <c r="DK337" s="32">
        <v>1100</v>
      </c>
      <c r="DL337" s="60">
        <v>200000</v>
      </c>
      <c r="DM337" s="29" t="s">
        <v>5854</v>
      </c>
      <c r="DN337" s="301" t="s">
        <v>4435</v>
      </c>
      <c r="DO337" s="306" t="s">
        <v>4565</v>
      </c>
    </row>
    <row r="338" spans="1:119" ht="15.6" customHeight="1">
      <c r="A338" s="301">
        <v>333</v>
      </c>
      <c r="B338" s="348">
        <v>51</v>
      </c>
      <c r="C338" s="348">
        <v>2016</v>
      </c>
      <c r="D338" s="357" t="s">
        <v>5646</v>
      </c>
      <c r="E338" s="359" t="s">
        <v>4842</v>
      </c>
      <c r="F338" s="348">
        <v>6</v>
      </c>
      <c r="G338" s="368" t="s">
        <v>5929</v>
      </c>
      <c r="H338" s="368" t="s">
        <v>5928</v>
      </c>
      <c r="I338" s="368" t="s">
        <v>6253</v>
      </c>
      <c r="J338" s="284" t="s">
        <v>6356</v>
      </c>
      <c r="K338" s="301" t="s">
        <v>6324</v>
      </c>
      <c r="L338" s="310" t="s">
        <v>6061</v>
      </c>
      <c r="M338" s="301" t="s">
        <v>4508</v>
      </c>
      <c r="N338" s="310" t="s">
        <v>4702</v>
      </c>
      <c r="O338" s="18" t="s">
        <v>4506</v>
      </c>
      <c r="P338" s="310" t="s">
        <v>6317</v>
      </c>
      <c r="Q338" s="310" t="s">
        <v>4420</v>
      </c>
      <c r="R338" s="310" t="s">
        <v>4420</v>
      </c>
      <c r="S338" s="310" t="s">
        <v>5791</v>
      </c>
      <c r="T338" s="59" t="s">
        <v>4420</v>
      </c>
      <c r="U338" s="59" t="s">
        <v>5791</v>
      </c>
      <c r="V338" s="59" t="s">
        <v>4420</v>
      </c>
      <c r="W338" s="59" t="s">
        <v>5791</v>
      </c>
      <c r="X338" s="310" t="s">
        <v>4420</v>
      </c>
      <c r="Y338" s="310" t="s">
        <v>5791</v>
      </c>
      <c r="Z338" s="310" t="s">
        <v>4559</v>
      </c>
      <c r="AA338" s="88">
        <v>0</v>
      </c>
      <c r="AB338" s="232">
        <v>0</v>
      </c>
      <c r="AC338" s="17">
        <v>0</v>
      </c>
      <c r="AD338" s="300" t="s">
        <v>6357</v>
      </c>
      <c r="AE338" s="16">
        <f>INDEX('[2]Cross-Section Database'!$C$2:$V$2928,MATCH(AD338,'[2]Cross-Section Database'!$B$2:$B$2928,0),3)</f>
        <v>133</v>
      </c>
      <c r="AF338" s="16">
        <f>INDEX('[2]Cross-Section Database'!$C$2:$V$2928,MATCH(AD338,'[2]Cross-Section Database'!$B$2:$B$2928,0),4)</f>
        <v>140</v>
      </c>
      <c r="AG338" s="44">
        <f>INDEX('[2]Cross-Section Database'!$C$2:$V$2928,MATCH(AD338,'[2]Cross-Section Database'!$B$2:$B$2928,0),6)</f>
        <v>8.5</v>
      </c>
      <c r="AH338" s="44">
        <f>INDEX('[2]Cross-Section Database'!$C$2:$V$2928,MATCH(AD338,'[2]Cross-Section Database'!$B$2:$B$2928,0),5)</f>
        <v>5.5</v>
      </c>
      <c r="AI338" s="16">
        <v>1100</v>
      </c>
      <c r="AJ338" s="300" t="s">
        <v>6358</v>
      </c>
      <c r="AK338" s="16">
        <f>INDEX('[2]Cross-Section Database'!$C$2:$V$2928,MATCH(AJ338,'[2]Cross-Section Database'!$B$2:$B$2928,0),3)</f>
        <v>114</v>
      </c>
      <c r="AL338" s="16">
        <f>INDEX('[2]Cross-Section Database'!$C$2:$V$2928,MATCH(AJ338,'[2]Cross-Section Database'!$B$2:$B$2928,0),4)</f>
        <v>120</v>
      </c>
      <c r="AM338" s="16">
        <f>INDEX('[2]Cross-Section Database'!$C$2:$V$2928,MATCH(AJ338,'[2]Cross-Section Database'!$B$2:$B$2928,0),6)</f>
        <v>8</v>
      </c>
      <c r="AN338" s="16">
        <f>INDEX('[2]Cross-Section Database'!$C$2:$V$2928,MATCH(AJ338,'[2]Cross-Section Database'!$B$2:$B$2928,0),5)</f>
        <v>5</v>
      </c>
      <c r="AO338" s="16">
        <v>1000</v>
      </c>
      <c r="AP338" s="16">
        <f>INDEX('[2]Cross-Section Database'!$C$2:$V$3928,MATCH(AJ338,'[2]Cross-Section Database'!$B$2:$B$3928,0),11)</f>
        <v>6062000</v>
      </c>
      <c r="AQ338" s="26">
        <f>INDEX('[2]Cross-Section Database'!$C$2:$V$3928,MATCH(AJ338,'[2]Cross-Section Database'!$B$2:$B$3928,0),12)</f>
        <v>119500</v>
      </c>
      <c r="AR338" s="21">
        <v>25</v>
      </c>
      <c r="AS338" s="21">
        <v>120</v>
      </c>
      <c r="AT338" s="21">
        <v>142</v>
      </c>
      <c r="AU338" s="21">
        <v>14.5</v>
      </c>
      <c r="AV338" s="21">
        <v>14.5</v>
      </c>
      <c r="AW338" s="300" t="s">
        <v>5806</v>
      </c>
      <c r="AX338" s="309" t="s">
        <v>6129</v>
      </c>
      <c r="AY338" s="16" t="s">
        <v>6129</v>
      </c>
      <c r="AZ338" s="309">
        <v>16</v>
      </c>
      <c r="BA338" s="309">
        <f t="shared" si="160"/>
        <v>157</v>
      </c>
      <c r="BB338" s="16">
        <v>48</v>
      </c>
      <c r="BC338" s="16">
        <f t="shared" si="165"/>
        <v>48</v>
      </c>
      <c r="BD338" s="16">
        <v>0</v>
      </c>
      <c r="BE338" s="16">
        <v>50</v>
      </c>
      <c r="BF338" s="16">
        <f>AT338-BB338-BC338-BD338</f>
        <v>46</v>
      </c>
      <c r="BG338" s="22" t="s">
        <v>6318</v>
      </c>
      <c r="BH338" s="309" t="s">
        <v>6204</v>
      </c>
      <c r="BI338" s="309" t="s">
        <v>6204</v>
      </c>
      <c r="BJ338" s="309">
        <v>2</v>
      </c>
      <c r="BK338" s="309">
        <v>4</v>
      </c>
      <c r="BL338" s="194" t="s">
        <v>5791</v>
      </c>
      <c r="BM338" s="195" t="s">
        <v>5791</v>
      </c>
      <c r="BN338" s="195" t="s">
        <v>5791</v>
      </c>
      <c r="BO338" s="195" t="s">
        <v>5791</v>
      </c>
      <c r="BP338" s="195" t="s">
        <v>5791</v>
      </c>
      <c r="BQ338" s="195" t="s">
        <v>5791</v>
      </c>
      <c r="BR338" s="195" t="s">
        <v>5791</v>
      </c>
      <c r="BS338" s="195" t="s">
        <v>5791</v>
      </c>
      <c r="BT338" s="194" t="s">
        <v>5791</v>
      </c>
      <c r="BU338" s="195" t="s">
        <v>5791</v>
      </c>
      <c r="BV338" s="195" t="s">
        <v>5791</v>
      </c>
      <c r="BW338" s="195" t="s">
        <v>5791</v>
      </c>
      <c r="BX338" s="195" t="s">
        <v>5791</v>
      </c>
      <c r="BY338" s="195" t="s">
        <v>5791</v>
      </c>
      <c r="BZ338" s="213" t="s">
        <v>5791</v>
      </c>
      <c r="CA338" s="195" t="s">
        <v>5791</v>
      </c>
      <c r="CB338" s="195" t="s">
        <v>5791</v>
      </c>
      <c r="CC338" s="195" t="s">
        <v>5791</v>
      </c>
      <c r="CD338" s="195" t="s">
        <v>5791</v>
      </c>
      <c r="CE338" s="195" t="s">
        <v>5791</v>
      </c>
      <c r="CF338" s="213" t="s">
        <v>5791</v>
      </c>
      <c r="CG338" s="30" t="s">
        <v>4450</v>
      </c>
      <c r="CH338" s="64">
        <v>275</v>
      </c>
      <c r="CI338" s="30">
        <v>360</v>
      </c>
      <c r="CJ338" s="64">
        <v>410</v>
      </c>
      <c r="CK338" s="30">
        <v>530</v>
      </c>
      <c r="CL338" s="65">
        <v>200000</v>
      </c>
      <c r="CM338" s="105" t="s">
        <v>4450</v>
      </c>
      <c r="CN338" s="64">
        <v>275</v>
      </c>
      <c r="CO338" s="30">
        <v>360</v>
      </c>
      <c r="CP338" s="64">
        <v>410</v>
      </c>
      <c r="CQ338" s="30">
        <v>530</v>
      </c>
      <c r="CR338" s="65">
        <v>200000</v>
      </c>
      <c r="CS338" s="30" t="s">
        <v>4450</v>
      </c>
      <c r="CT338" s="64">
        <v>275</v>
      </c>
      <c r="CU338" s="30">
        <v>360</v>
      </c>
      <c r="CV338" s="64">
        <v>410</v>
      </c>
      <c r="CW338" s="30">
        <v>530</v>
      </c>
      <c r="CX338" s="75">
        <v>200000</v>
      </c>
      <c r="CY338" s="198" t="s">
        <v>5791</v>
      </c>
      <c r="CZ338" s="199" t="s">
        <v>5791</v>
      </c>
      <c r="DA338" s="199" t="s">
        <v>5791</v>
      </c>
      <c r="DB338" s="200" t="s">
        <v>5791</v>
      </c>
      <c r="DC338" s="198" t="s">
        <v>5791</v>
      </c>
      <c r="DD338" s="199" t="s">
        <v>5791</v>
      </c>
      <c r="DE338" s="200" t="s">
        <v>5791</v>
      </c>
      <c r="DF338" s="273" t="s">
        <v>5791</v>
      </c>
      <c r="DG338" s="309">
        <v>10.9</v>
      </c>
      <c r="DH338" s="309">
        <v>900</v>
      </c>
      <c r="DI338" s="30">
        <v>990</v>
      </c>
      <c r="DJ338" s="309">
        <v>1000</v>
      </c>
      <c r="DK338" s="30">
        <v>1100</v>
      </c>
      <c r="DL338" s="75">
        <v>200000</v>
      </c>
      <c r="DM338" s="28" t="s">
        <v>15</v>
      </c>
      <c r="DN338" s="309" t="s">
        <v>4560</v>
      </c>
      <c r="DO338" s="305" t="s">
        <v>4565</v>
      </c>
    </row>
    <row r="339" spans="1:119" ht="15.6" customHeight="1">
      <c r="A339" s="301">
        <v>334</v>
      </c>
      <c r="B339" s="349"/>
      <c r="C339" s="349"/>
      <c r="D339" s="358"/>
      <c r="E339" s="360"/>
      <c r="F339" s="349"/>
      <c r="G339" s="369"/>
      <c r="H339" s="369"/>
      <c r="I339" s="369"/>
      <c r="J339" s="286" t="s">
        <v>4386</v>
      </c>
      <c r="K339" s="301" t="s">
        <v>6324</v>
      </c>
      <c r="L339" s="310" t="s">
        <v>6061</v>
      </c>
      <c r="M339" s="301" t="s">
        <v>4508</v>
      </c>
      <c r="N339" s="310" t="s">
        <v>4702</v>
      </c>
      <c r="O339" s="18" t="s">
        <v>4506</v>
      </c>
      <c r="P339" s="310" t="s">
        <v>6317</v>
      </c>
      <c r="Q339" s="310" t="s">
        <v>4420</v>
      </c>
      <c r="R339" s="310" t="s">
        <v>4420</v>
      </c>
      <c r="S339" s="310" t="s">
        <v>5791</v>
      </c>
      <c r="T339" s="59" t="s">
        <v>4420</v>
      </c>
      <c r="U339" s="59" t="s">
        <v>5791</v>
      </c>
      <c r="V339" s="59" t="s">
        <v>4420</v>
      </c>
      <c r="W339" s="59" t="s">
        <v>5791</v>
      </c>
      <c r="X339" s="310" t="s">
        <v>4420</v>
      </c>
      <c r="Y339" s="310" t="s">
        <v>5791</v>
      </c>
      <c r="Z339" s="310" t="s">
        <v>4559</v>
      </c>
      <c r="AA339" s="88">
        <v>0</v>
      </c>
      <c r="AB339" s="223">
        <v>0</v>
      </c>
      <c r="AC339" s="18">
        <v>0</v>
      </c>
      <c r="AD339" s="301" t="s">
        <v>6358</v>
      </c>
      <c r="AE339" s="21">
        <f>INDEX('[2]Cross-Section Database'!$C$2:$V$2928,MATCH(AD339,'[2]Cross-Section Database'!$B$2:$B$2928,0),3)</f>
        <v>114</v>
      </c>
      <c r="AF339" s="21">
        <f>INDEX('[2]Cross-Section Database'!$C$2:$V$2928,MATCH(AD339,'[2]Cross-Section Database'!$B$2:$B$2928,0),4)</f>
        <v>120</v>
      </c>
      <c r="AG339" s="45">
        <f>INDEX('[2]Cross-Section Database'!$C$2:$V$2928,MATCH(AD339,'[2]Cross-Section Database'!$B$2:$B$2928,0),6)</f>
        <v>8</v>
      </c>
      <c r="AH339" s="45">
        <f>INDEX('[2]Cross-Section Database'!$C$2:$V$2928,MATCH(AD339,'[2]Cross-Section Database'!$B$2:$B$2928,0),5)</f>
        <v>5</v>
      </c>
      <c r="AI339" s="21">
        <v>1100</v>
      </c>
      <c r="AJ339" s="301" t="s">
        <v>6359</v>
      </c>
      <c r="AK339" s="21">
        <f>INDEX('[2]Cross-Section Database'!$C$2:$V$2928,MATCH(AJ339,'[2]Cross-Section Database'!$B$2:$B$2928,0),3)</f>
        <v>160</v>
      </c>
      <c r="AL339" s="21">
        <f>INDEX('[2]Cross-Section Database'!$C$2:$V$2928,MATCH(AJ339,'[2]Cross-Section Database'!$B$2:$B$2928,0),4)</f>
        <v>82</v>
      </c>
      <c r="AM339" s="21">
        <f>INDEX('[2]Cross-Section Database'!$C$2:$V$2928,MATCH(AJ339,'[2]Cross-Section Database'!$B$2:$B$2928,0),6)</f>
        <v>7.4</v>
      </c>
      <c r="AN339" s="21">
        <f>INDEX('[2]Cross-Section Database'!$C$2:$V$2928,MATCH(AJ339,'[2]Cross-Section Database'!$B$2:$B$2928,0),5)</f>
        <v>5</v>
      </c>
      <c r="AO339" s="21">
        <v>1000</v>
      </c>
      <c r="AP339" s="21">
        <f>INDEX('[2]Cross-Section Database'!$C$2:$V$3928,MATCH(AJ339,'[2]Cross-Section Database'!$B$2:$B$3928,0),11)</f>
        <v>8690000</v>
      </c>
      <c r="AQ339" s="24">
        <f>INDEX('[2]Cross-Section Database'!$C$2:$V$3928,MATCH(AJ339,'[2]Cross-Section Database'!$B$2:$B$3928,0),12)</f>
        <v>124000</v>
      </c>
      <c r="AR339" s="21">
        <v>25</v>
      </c>
      <c r="AS339" s="21">
        <v>117</v>
      </c>
      <c r="AT339" s="21">
        <v>188</v>
      </c>
      <c r="AU339" s="21">
        <f t="shared" ref="AU339:AU347" si="182">(AT339-AK339)-AV339</f>
        <v>14</v>
      </c>
      <c r="AV339" s="21">
        <f t="shared" ref="AV339:AV357" si="183">(AT339-AK339)/2</f>
        <v>14</v>
      </c>
      <c r="AW339" s="301" t="s">
        <v>5806</v>
      </c>
      <c r="AX339" s="310" t="s">
        <v>6129</v>
      </c>
      <c r="AY339" s="21" t="s">
        <v>6129</v>
      </c>
      <c r="AZ339" s="310">
        <v>20</v>
      </c>
      <c r="BA339" s="310">
        <f t="shared" si="160"/>
        <v>245</v>
      </c>
      <c r="BB339" s="21">
        <v>44</v>
      </c>
      <c r="BC339" s="21">
        <f t="shared" si="165"/>
        <v>44</v>
      </c>
      <c r="BD339" s="21">
        <v>0</v>
      </c>
      <c r="BE339" s="21">
        <v>50</v>
      </c>
      <c r="BF339" s="21">
        <f>AT339-BB339-BC339-BD339</f>
        <v>100</v>
      </c>
      <c r="BG339" s="15" t="s">
        <v>6318</v>
      </c>
      <c r="BH339" s="310" t="s">
        <v>6204</v>
      </c>
      <c r="BI339" s="310" t="s">
        <v>6204</v>
      </c>
      <c r="BJ339" s="310">
        <v>2</v>
      </c>
      <c r="BK339" s="310">
        <v>4</v>
      </c>
      <c r="BL339" s="196" t="s">
        <v>5791</v>
      </c>
      <c r="BM339" s="197" t="s">
        <v>5791</v>
      </c>
      <c r="BN339" s="197" t="s">
        <v>5791</v>
      </c>
      <c r="BO339" s="197" t="s">
        <v>5791</v>
      </c>
      <c r="BP339" s="197" t="s">
        <v>5791</v>
      </c>
      <c r="BQ339" s="197" t="s">
        <v>5791</v>
      </c>
      <c r="BR339" s="197" t="s">
        <v>5791</v>
      </c>
      <c r="BS339" s="197" t="s">
        <v>5791</v>
      </c>
      <c r="BT339" s="196" t="s">
        <v>5791</v>
      </c>
      <c r="BU339" s="197" t="s">
        <v>5791</v>
      </c>
      <c r="BV339" s="197" t="s">
        <v>5791</v>
      </c>
      <c r="BW339" s="197" t="s">
        <v>5791</v>
      </c>
      <c r="BX339" s="197" t="s">
        <v>5791</v>
      </c>
      <c r="BY339" s="197" t="s">
        <v>5791</v>
      </c>
      <c r="BZ339" s="212" t="s">
        <v>5791</v>
      </c>
      <c r="CA339" s="197" t="s">
        <v>5791</v>
      </c>
      <c r="CB339" s="197" t="s">
        <v>5791</v>
      </c>
      <c r="CC339" s="197" t="s">
        <v>5791</v>
      </c>
      <c r="CD339" s="197" t="s">
        <v>5791</v>
      </c>
      <c r="CE339" s="197" t="s">
        <v>5791</v>
      </c>
      <c r="CF339" s="212" t="s">
        <v>5791</v>
      </c>
      <c r="CG339" s="32" t="s">
        <v>4450</v>
      </c>
      <c r="CH339" s="59">
        <v>275</v>
      </c>
      <c r="CI339" s="32">
        <v>360</v>
      </c>
      <c r="CJ339" s="59">
        <v>410</v>
      </c>
      <c r="CK339" s="32">
        <v>530</v>
      </c>
      <c r="CL339" s="66">
        <v>200000</v>
      </c>
      <c r="CM339" s="106" t="s">
        <v>4450</v>
      </c>
      <c r="CN339" s="59">
        <v>275</v>
      </c>
      <c r="CO339" s="32">
        <v>360</v>
      </c>
      <c r="CP339" s="59">
        <v>410</v>
      </c>
      <c r="CQ339" s="32">
        <v>530</v>
      </c>
      <c r="CR339" s="66">
        <v>200000</v>
      </c>
      <c r="CS339" s="32" t="s">
        <v>4450</v>
      </c>
      <c r="CT339" s="59">
        <v>275</v>
      </c>
      <c r="CU339" s="32">
        <v>360</v>
      </c>
      <c r="CV339" s="59">
        <v>410</v>
      </c>
      <c r="CW339" s="32">
        <v>530</v>
      </c>
      <c r="CX339" s="60">
        <v>200000</v>
      </c>
      <c r="CY339" s="201" t="s">
        <v>5791</v>
      </c>
      <c r="CZ339" s="202" t="s">
        <v>5791</v>
      </c>
      <c r="DA339" s="202" t="s">
        <v>5791</v>
      </c>
      <c r="DB339" s="203" t="s">
        <v>5791</v>
      </c>
      <c r="DC339" s="201" t="s">
        <v>5791</v>
      </c>
      <c r="DD339" s="202" t="s">
        <v>5791</v>
      </c>
      <c r="DE339" s="203" t="s">
        <v>5791</v>
      </c>
      <c r="DF339" s="274" t="s">
        <v>5791</v>
      </c>
      <c r="DG339" s="310">
        <v>10.9</v>
      </c>
      <c r="DH339" s="310">
        <v>900</v>
      </c>
      <c r="DI339" s="32">
        <v>990</v>
      </c>
      <c r="DJ339" s="310">
        <v>1000</v>
      </c>
      <c r="DK339" s="32">
        <v>1100</v>
      </c>
      <c r="DL339" s="60">
        <v>200000</v>
      </c>
      <c r="DM339" s="29" t="s">
        <v>15</v>
      </c>
      <c r="DN339" s="310" t="s">
        <v>4560</v>
      </c>
      <c r="DO339" s="306" t="s">
        <v>4565</v>
      </c>
    </row>
    <row r="340" spans="1:119">
      <c r="A340" s="301">
        <v>335</v>
      </c>
      <c r="B340" s="349"/>
      <c r="C340" s="349"/>
      <c r="D340" s="358"/>
      <c r="E340" s="360"/>
      <c r="F340" s="349"/>
      <c r="G340" s="369"/>
      <c r="H340" s="369"/>
      <c r="I340" s="369"/>
      <c r="J340" s="286" t="s">
        <v>4387</v>
      </c>
      <c r="K340" s="301" t="s">
        <v>6324</v>
      </c>
      <c r="L340" s="310" t="s">
        <v>6061</v>
      </c>
      <c r="M340" s="301" t="s">
        <v>4508</v>
      </c>
      <c r="N340" s="310" t="s">
        <v>4702</v>
      </c>
      <c r="O340" s="18" t="s">
        <v>4506</v>
      </c>
      <c r="P340" s="310" t="s">
        <v>6317</v>
      </c>
      <c r="Q340" s="310" t="s">
        <v>4420</v>
      </c>
      <c r="R340" s="310" t="s">
        <v>4420</v>
      </c>
      <c r="S340" s="310" t="s">
        <v>5791</v>
      </c>
      <c r="T340" s="59" t="s">
        <v>4420</v>
      </c>
      <c r="U340" s="59" t="s">
        <v>5791</v>
      </c>
      <c r="V340" s="59" t="s">
        <v>4420</v>
      </c>
      <c r="W340" s="59" t="s">
        <v>5791</v>
      </c>
      <c r="X340" s="310" t="s">
        <v>4420</v>
      </c>
      <c r="Y340" s="310" t="s">
        <v>5791</v>
      </c>
      <c r="Z340" s="310" t="s">
        <v>4559</v>
      </c>
      <c r="AA340" s="88">
        <v>0</v>
      </c>
      <c r="AB340" s="223">
        <v>0</v>
      </c>
      <c r="AC340" s="18">
        <v>0</v>
      </c>
      <c r="AD340" s="301" t="s">
        <v>6357</v>
      </c>
      <c r="AE340" s="21">
        <f>INDEX('[2]Cross-Section Database'!$C$2:$V$2928,MATCH(AD340,'[2]Cross-Section Database'!$B$2:$B$2928,0),3)</f>
        <v>133</v>
      </c>
      <c r="AF340" s="21">
        <f>INDEX('[2]Cross-Section Database'!$C$2:$V$2928,MATCH(AD340,'[2]Cross-Section Database'!$B$2:$B$2928,0),4)</f>
        <v>140</v>
      </c>
      <c r="AG340" s="45">
        <f>INDEX('[2]Cross-Section Database'!$C$2:$V$2928,MATCH(AD340,'[2]Cross-Section Database'!$B$2:$B$2928,0),6)</f>
        <v>8.5</v>
      </c>
      <c r="AH340" s="45">
        <f>INDEX('[2]Cross-Section Database'!$C$2:$V$2928,MATCH(AD340,'[2]Cross-Section Database'!$B$2:$B$2928,0),5)</f>
        <v>5.5</v>
      </c>
      <c r="AI340" s="21">
        <v>1100</v>
      </c>
      <c r="AJ340" s="301" t="s">
        <v>6358</v>
      </c>
      <c r="AK340" s="21">
        <f>INDEX('[2]Cross-Section Database'!$C$2:$V$2928,MATCH(AJ340,'[2]Cross-Section Database'!$B$2:$B$2928,0),3)</f>
        <v>114</v>
      </c>
      <c r="AL340" s="21">
        <f>INDEX('[2]Cross-Section Database'!$C$2:$V$2928,MATCH(AJ340,'[2]Cross-Section Database'!$B$2:$B$2928,0),4)</f>
        <v>120</v>
      </c>
      <c r="AM340" s="21">
        <f>INDEX('[2]Cross-Section Database'!$C$2:$V$2928,MATCH(AJ340,'[2]Cross-Section Database'!$B$2:$B$2928,0),6)</f>
        <v>8</v>
      </c>
      <c r="AN340" s="21">
        <f>INDEX('[2]Cross-Section Database'!$C$2:$V$2928,MATCH(AJ340,'[2]Cross-Section Database'!$B$2:$B$2928,0),5)</f>
        <v>5</v>
      </c>
      <c r="AO340" s="21">
        <v>1000</v>
      </c>
      <c r="AP340" s="21">
        <f>INDEX('[2]Cross-Section Database'!$C$2:$V$3928,MATCH(AJ340,'[2]Cross-Section Database'!$B$2:$B$3928,0),11)</f>
        <v>6062000</v>
      </c>
      <c r="AQ340" s="24">
        <f>INDEX('[2]Cross-Section Database'!$C$2:$V$3928,MATCH(AJ340,'[2]Cross-Section Database'!$B$2:$B$3928,0),12)</f>
        <v>119500</v>
      </c>
      <c r="AR340" s="21">
        <v>33</v>
      </c>
      <c r="AS340" s="21">
        <v>120</v>
      </c>
      <c r="AT340" s="21">
        <v>137</v>
      </c>
      <c r="AU340" s="21">
        <f t="shared" si="182"/>
        <v>11.5</v>
      </c>
      <c r="AV340" s="21">
        <f t="shared" si="183"/>
        <v>11.5</v>
      </c>
      <c r="AW340" s="301" t="s">
        <v>5806</v>
      </c>
      <c r="AX340" s="310" t="s">
        <v>6129</v>
      </c>
      <c r="AY340" s="21" t="s">
        <v>6129</v>
      </c>
      <c r="AZ340" s="310">
        <v>20</v>
      </c>
      <c r="BA340" s="310">
        <f t="shared" si="160"/>
        <v>245</v>
      </c>
      <c r="BB340" s="21">
        <v>38.5</v>
      </c>
      <c r="BC340" s="21">
        <f t="shared" si="165"/>
        <v>38.5</v>
      </c>
      <c r="BD340" s="21">
        <v>0</v>
      </c>
      <c r="BE340" s="21">
        <v>50</v>
      </c>
      <c r="BF340" s="21">
        <f>AT340-BB340-BC340-BD340</f>
        <v>60</v>
      </c>
      <c r="BG340" s="15" t="s">
        <v>6318</v>
      </c>
      <c r="BH340" s="310" t="s">
        <v>6204</v>
      </c>
      <c r="BI340" s="310" t="s">
        <v>6204</v>
      </c>
      <c r="BJ340" s="310">
        <v>2</v>
      </c>
      <c r="BK340" s="310">
        <v>4</v>
      </c>
      <c r="BL340" s="196" t="s">
        <v>5791</v>
      </c>
      <c r="BM340" s="197" t="s">
        <v>5791</v>
      </c>
      <c r="BN340" s="197" t="s">
        <v>5791</v>
      </c>
      <c r="BO340" s="197" t="s">
        <v>5791</v>
      </c>
      <c r="BP340" s="197" t="s">
        <v>5791</v>
      </c>
      <c r="BQ340" s="197" t="s">
        <v>5791</v>
      </c>
      <c r="BR340" s="197" t="s">
        <v>5791</v>
      </c>
      <c r="BS340" s="197" t="s">
        <v>5791</v>
      </c>
      <c r="BT340" s="196" t="s">
        <v>5791</v>
      </c>
      <c r="BU340" s="197" t="s">
        <v>5791</v>
      </c>
      <c r="BV340" s="197" t="s">
        <v>5791</v>
      </c>
      <c r="BW340" s="197" t="s">
        <v>5791</v>
      </c>
      <c r="BX340" s="197" t="s">
        <v>5791</v>
      </c>
      <c r="BY340" s="197" t="s">
        <v>5791</v>
      </c>
      <c r="BZ340" s="212" t="s">
        <v>5791</v>
      </c>
      <c r="CA340" s="197" t="s">
        <v>5791</v>
      </c>
      <c r="CB340" s="197" t="s">
        <v>5791</v>
      </c>
      <c r="CC340" s="197" t="s">
        <v>5791</v>
      </c>
      <c r="CD340" s="197" t="s">
        <v>5791</v>
      </c>
      <c r="CE340" s="197" t="s">
        <v>5791</v>
      </c>
      <c r="CF340" s="212" t="s">
        <v>5791</v>
      </c>
      <c r="CG340" s="32" t="s">
        <v>4450</v>
      </c>
      <c r="CH340" s="59">
        <v>275</v>
      </c>
      <c r="CI340" s="32">
        <v>360</v>
      </c>
      <c r="CJ340" s="59">
        <v>410</v>
      </c>
      <c r="CK340" s="32">
        <v>530</v>
      </c>
      <c r="CL340" s="66">
        <v>200000</v>
      </c>
      <c r="CM340" s="106" t="s">
        <v>4450</v>
      </c>
      <c r="CN340" s="59">
        <v>275</v>
      </c>
      <c r="CO340" s="32">
        <v>360</v>
      </c>
      <c r="CP340" s="59">
        <v>410</v>
      </c>
      <c r="CQ340" s="32">
        <v>530</v>
      </c>
      <c r="CR340" s="66">
        <v>200000</v>
      </c>
      <c r="CS340" s="32" t="s">
        <v>4450</v>
      </c>
      <c r="CT340" s="59">
        <v>275</v>
      </c>
      <c r="CU340" s="32">
        <v>360</v>
      </c>
      <c r="CV340" s="59">
        <v>410</v>
      </c>
      <c r="CW340" s="32">
        <v>530</v>
      </c>
      <c r="CX340" s="60">
        <v>200000</v>
      </c>
      <c r="CY340" s="201" t="s">
        <v>5791</v>
      </c>
      <c r="CZ340" s="202" t="s">
        <v>5791</v>
      </c>
      <c r="DA340" s="202" t="s">
        <v>5791</v>
      </c>
      <c r="DB340" s="203" t="s">
        <v>5791</v>
      </c>
      <c r="DC340" s="201" t="s">
        <v>5791</v>
      </c>
      <c r="DD340" s="202" t="s">
        <v>5791</v>
      </c>
      <c r="DE340" s="203" t="s">
        <v>5791</v>
      </c>
      <c r="DF340" s="274" t="s">
        <v>5791</v>
      </c>
      <c r="DG340" s="310">
        <v>8.8000000000000007</v>
      </c>
      <c r="DH340" s="310">
        <v>640</v>
      </c>
      <c r="DI340" s="32">
        <v>730</v>
      </c>
      <c r="DJ340" s="310">
        <v>800</v>
      </c>
      <c r="DK340" s="32">
        <v>940</v>
      </c>
      <c r="DL340" s="60">
        <v>200000</v>
      </c>
      <c r="DM340" s="29" t="s">
        <v>15</v>
      </c>
      <c r="DN340" s="301" t="s">
        <v>4560</v>
      </c>
      <c r="DO340" s="306" t="s">
        <v>4565</v>
      </c>
    </row>
    <row r="341" spans="1:119">
      <c r="A341" s="301">
        <v>336</v>
      </c>
      <c r="B341" s="349"/>
      <c r="C341" s="349"/>
      <c r="D341" s="358"/>
      <c r="E341" s="360"/>
      <c r="F341" s="349"/>
      <c r="G341" s="369"/>
      <c r="H341" s="369"/>
      <c r="I341" s="369"/>
      <c r="J341" s="286" t="s">
        <v>4388</v>
      </c>
      <c r="K341" s="301" t="s">
        <v>6324</v>
      </c>
      <c r="L341" s="310" t="s">
        <v>6061</v>
      </c>
      <c r="M341" s="301" t="s">
        <v>4508</v>
      </c>
      <c r="N341" s="310" t="s">
        <v>4702</v>
      </c>
      <c r="O341" s="18" t="s">
        <v>4506</v>
      </c>
      <c r="P341" s="310" t="s">
        <v>6317</v>
      </c>
      <c r="Q341" s="310" t="s">
        <v>4420</v>
      </c>
      <c r="R341" s="310" t="s">
        <v>4420</v>
      </c>
      <c r="S341" s="310" t="s">
        <v>5791</v>
      </c>
      <c r="T341" s="59" t="s">
        <v>4420</v>
      </c>
      <c r="U341" s="59" t="s">
        <v>5791</v>
      </c>
      <c r="V341" s="59" t="s">
        <v>4420</v>
      </c>
      <c r="W341" s="59" t="s">
        <v>5791</v>
      </c>
      <c r="X341" s="310" t="s">
        <v>4420</v>
      </c>
      <c r="Y341" s="310" t="s">
        <v>5791</v>
      </c>
      <c r="Z341" s="310" t="s">
        <v>4559</v>
      </c>
      <c r="AA341" s="88">
        <v>0</v>
      </c>
      <c r="AB341" s="223">
        <v>0</v>
      </c>
      <c r="AC341" s="18">
        <v>0</v>
      </c>
      <c r="AD341" s="301" t="s">
        <v>6357</v>
      </c>
      <c r="AE341" s="21">
        <f>INDEX('[2]Cross-Section Database'!$C$2:$V$2928,MATCH(AD341,'[2]Cross-Section Database'!$B$2:$B$2928,0),3)</f>
        <v>133</v>
      </c>
      <c r="AF341" s="21">
        <f>INDEX('[2]Cross-Section Database'!$C$2:$V$2928,MATCH(AD341,'[2]Cross-Section Database'!$B$2:$B$2928,0),4)</f>
        <v>140</v>
      </c>
      <c r="AG341" s="45">
        <f>INDEX('[2]Cross-Section Database'!$C$2:$V$2928,MATCH(AD341,'[2]Cross-Section Database'!$B$2:$B$2928,0),6)</f>
        <v>8.5</v>
      </c>
      <c r="AH341" s="45">
        <f>INDEX('[2]Cross-Section Database'!$C$2:$V$2928,MATCH(AD341,'[2]Cross-Section Database'!$B$2:$B$2928,0),5)</f>
        <v>5.5</v>
      </c>
      <c r="AI341" s="21">
        <v>1100</v>
      </c>
      <c r="AJ341" s="301" t="s">
        <v>6359</v>
      </c>
      <c r="AK341" s="21">
        <f>INDEX('[2]Cross-Section Database'!$C$2:$V$2928,MATCH(AJ341,'[2]Cross-Section Database'!$B$2:$B$2928,0),3)</f>
        <v>160</v>
      </c>
      <c r="AL341" s="21">
        <f>INDEX('[2]Cross-Section Database'!$C$2:$V$2928,MATCH(AJ341,'[2]Cross-Section Database'!$B$2:$B$2928,0),4)</f>
        <v>82</v>
      </c>
      <c r="AM341" s="21">
        <f>INDEX('[2]Cross-Section Database'!$C$2:$V$2928,MATCH(AJ341,'[2]Cross-Section Database'!$B$2:$B$2928,0),6)</f>
        <v>7.4</v>
      </c>
      <c r="AN341" s="21">
        <f>INDEX('[2]Cross-Section Database'!$C$2:$V$2928,MATCH(AJ341,'[2]Cross-Section Database'!$B$2:$B$2928,0),5)</f>
        <v>5</v>
      </c>
      <c r="AO341" s="21">
        <v>1000</v>
      </c>
      <c r="AP341" s="21">
        <f>INDEX('[2]Cross-Section Database'!$C$2:$V$3928,MATCH(AJ341,'[2]Cross-Section Database'!$B$2:$B$3928,0),11)</f>
        <v>8690000</v>
      </c>
      <c r="AQ341" s="24">
        <f>INDEX('[2]Cross-Section Database'!$C$2:$V$3928,MATCH(AJ341,'[2]Cross-Section Database'!$B$2:$B$3928,0),12)</f>
        <v>124000</v>
      </c>
      <c r="AR341" s="21">
        <v>33</v>
      </c>
      <c r="AS341" s="21">
        <v>117</v>
      </c>
      <c r="AT341" s="21">
        <v>188</v>
      </c>
      <c r="AU341" s="21">
        <f t="shared" si="182"/>
        <v>14</v>
      </c>
      <c r="AV341" s="21">
        <f t="shared" si="183"/>
        <v>14</v>
      </c>
      <c r="AW341" s="301" t="s">
        <v>5806</v>
      </c>
      <c r="AX341" s="310" t="s">
        <v>6129</v>
      </c>
      <c r="AY341" s="21" t="s">
        <v>6129</v>
      </c>
      <c r="AZ341" s="310">
        <v>20</v>
      </c>
      <c r="BA341" s="310">
        <f t="shared" si="160"/>
        <v>245</v>
      </c>
      <c r="BB341" s="21">
        <v>44</v>
      </c>
      <c r="BC341" s="21">
        <f t="shared" si="165"/>
        <v>44</v>
      </c>
      <c r="BD341" s="21">
        <v>50</v>
      </c>
      <c r="BE341" s="21">
        <v>50</v>
      </c>
      <c r="BF341" s="21">
        <v>0</v>
      </c>
      <c r="BG341" s="15" t="s">
        <v>6318</v>
      </c>
      <c r="BH341" s="310" t="s">
        <v>4465</v>
      </c>
      <c r="BI341" s="310" t="s">
        <v>6204</v>
      </c>
      <c r="BJ341" s="310">
        <v>4</v>
      </c>
      <c r="BK341" s="310">
        <v>6</v>
      </c>
      <c r="BL341" s="196" t="s">
        <v>5791</v>
      </c>
      <c r="BM341" s="197" t="s">
        <v>5791</v>
      </c>
      <c r="BN341" s="197" t="s">
        <v>5791</v>
      </c>
      <c r="BO341" s="197" t="s">
        <v>5791</v>
      </c>
      <c r="BP341" s="197" t="s">
        <v>5791</v>
      </c>
      <c r="BQ341" s="197" t="s">
        <v>5791</v>
      </c>
      <c r="BR341" s="197" t="s">
        <v>5791</v>
      </c>
      <c r="BS341" s="197" t="s">
        <v>5791</v>
      </c>
      <c r="BT341" s="196" t="s">
        <v>5791</v>
      </c>
      <c r="BU341" s="197" t="s">
        <v>5791</v>
      </c>
      <c r="BV341" s="197" t="s">
        <v>5791</v>
      </c>
      <c r="BW341" s="197" t="s">
        <v>5791</v>
      </c>
      <c r="BX341" s="197" t="s">
        <v>5791</v>
      </c>
      <c r="BY341" s="197" t="s">
        <v>5791</v>
      </c>
      <c r="BZ341" s="212" t="s">
        <v>5791</v>
      </c>
      <c r="CA341" s="197" t="s">
        <v>5791</v>
      </c>
      <c r="CB341" s="197" t="s">
        <v>5791</v>
      </c>
      <c r="CC341" s="197" t="s">
        <v>5791</v>
      </c>
      <c r="CD341" s="197" t="s">
        <v>5791</v>
      </c>
      <c r="CE341" s="197" t="s">
        <v>5791</v>
      </c>
      <c r="CF341" s="212" t="s">
        <v>5791</v>
      </c>
      <c r="CG341" s="32" t="s">
        <v>4450</v>
      </c>
      <c r="CH341" s="59">
        <v>275</v>
      </c>
      <c r="CI341" s="32">
        <v>360</v>
      </c>
      <c r="CJ341" s="59">
        <v>410</v>
      </c>
      <c r="CK341" s="32">
        <v>530</v>
      </c>
      <c r="CL341" s="66">
        <v>200000</v>
      </c>
      <c r="CM341" s="106" t="s">
        <v>4450</v>
      </c>
      <c r="CN341" s="59">
        <v>275</v>
      </c>
      <c r="CO341" s="32">
        <v>360</v>
      </c>
      <c r="CP341" s="59">
        <v>410</v>
      </c>
      <c r="CQ341" s="32">
        <v>530</v>
      </c>
      <c r="CR341" s="66">
        <v>200000</v>
      </c>
      <c r="CS341" s="32" t="s">
        <v>4450</v>
      </c>
      <c r="CT341" s="59">
        <v>275</v>
      </c>
      <c r="CU341" s="32">
        <v>360</v>
      </c>
      <c r="CV341" s="59">
        <v>410</v>
      </c>
      <c r="CW341" s="32">
        <v>530</v>
      </c>
      <c r="CX341" s="60">
        <v>200000</v>
      </c>
      <c r="CY341" s="201" t="s">
        <v>5791</v>
      </c>
      <c r="CZ341" s="202" t="s">
        <v>5791</v>
      </c>
      <c r="DA341" s="202" t="s">
        <v>5791</v>
      </c>
      <c r="DB341" s="203" t="s">
        <v>5791</v>
      </c>
      <c r="DC341" s="201" t="s">
        <v>5791</v>
      </c>
      <c r="DD341" s="202" t="s">
        <v>5791</v>
      </c>
      <c r="DE341" s="203" t="s">
        <v>5791</v>
      </c>
      <c r="DF341" s="274" t="s">
        <v>5791</v>
      </c>
      <c r="DG341" s="310">
        <v>10.9</v>
      </c>
      <c r="DH341" s="310">
        <v>900</v>
      </c>
      <c r="DI341" s="32">
        <v>990</v>
      </c>
      <c r="DJ341" s="310">
        <v>1000</v>
      </c>
      <c r="DK341" s="32">
        <v>1100</v>
      </c>
      <c r="DL341" s="60">
        <v>200000</v>
      </c>
      <c r="DM341" s="40" t="s">
        <v>15</v>
      </c>
      <c r="DN341" s="310" t="s">
        <v>4560</v>
      </c>
      <c r="DO341" s="306" t="s">
        <v>4565</v>
      </c>
    </row>
    <row r="342" spans="1:119">
      <c r="A342" s="301">
        <v>337</v>
      </c>
      <c r="B342" s="349"/>
      <c r="C342" s="349"/>
      <c r="D342" s="358"/>
      <c r="E342" s="360"/>
      <c r="F342" s="349"/>
      <c r="G342" s="369"/>
      <c r="H342" s="369"/>
      <c r="I342" s="369"/>
      <c r="J342" s="286" t="s">
        <v>4389</v>
      </c>
      <c r="K342" s="301" t="s">
        <v>6324</v>
      </c>
      <c r="L342" s="310" t="s">
        <v>6061</v>
      </c>
      <c r="M342" s="301" t="s">
        <v>4508</v>
      </c>
      <c r="N342" s="310" t="s">
        <v>4702</v>
      </c>
      <c r="O342" s="18" t="s">
        <v>4506</v>
      </c>
      <c r="P342" s="310" t="s">
        <v>6317</v>
      </c>
      <c r="Q342" s="310" t="s">
        <v>4420</v>
      </c>
      <c r="R342" s="310" t="s">
        <v>4420</v>
      </c>
      <c r="S342" s="310" t="s">
        <v>5791</v>
      </c>
      <c r="T342" s="59" t="s">
        <v>4420</v>
      </c>
      <c r="U342" s="59" t="s">
        <v>5791</v>
      </c>
      <c r="V342" s="59" t="s">
        <v>4420</v>
      </c>
      <c r="W342" s="59" t="s">
        <v>5791</v>
      </c>
      <c r="X342" s="310" t="s">
        <v>4420</v>
      </c>
      <c r="Y342" s="310" t="s">
        <v>5791</v>
      </c>
      <c r="Z342" s="310" t="s">
        <v>4559</v>
      </c>
      <c r="AA342" s="88">
        <v>0</v>
      </c>
      <c r="AB342" s="223">
        <v>0</v>
      </c>
      <c r="AC342" s="18">
        <v>0</v>
      </c>
      <c r="AD342" s="301" t="s">
        <v>6357</v>
      </c>
      <c r="AE342" s="21">
        <f>INDEX('[2]Cross-Section Database'!$C$2:$V$2928,MATCH(AD342,'[2]Cross-Section Database'!$B$2:$B$2928,0),3)</f>
        <v>133</v>
      </c>
      <c r="AF342" s="21">
        <f>INDEX('[2]Cross-Section Database'!$C$2:$V$2928,MATCH(AD342,'[2]Cross-Section Database'!$B$2:$B$2928,0),4)</f>
        <v>140</v>
      </c>
      <c r="AG342" s="45">
        <f>INDEX('[2]Cross-Section Database'!$C$2:$V$2928,MATCH(AD342,'[2]Cross-Section Database'!$B$2:$B$2928,0),6)</f>
        <v>8.5</v>
      </c>
      <c r="AH342" s="45">
        <f>INDEX('[2]Cross-Section Database'!$C$2:$V$2928,MATCH(AD342,'[2]Cross-Section Database'!$B$2:$B$2928,0),5)</f>
        <v>5.5</v>
      </c>
      <c r="AI342" s="21">
        <v>1100</v>
      </c>
      <c r="AJ342" s="301" t="s">
        <v>6359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22</v>
      </c>
      <c r="AS342" s="21">
        <v>118</v>
      </c>
      <c r="AT342" s="21">
        <v>190</v>
      </c>
      <c r="AU342" s="21">
        <f t="shared" si="182"/>
        <v>15</v>
      </c>
      <c r="AV342" s="21">
        <f t="shared" si="183"/>
        <v>15</v>
      </c>
      <c r="AW342" s="301" t="s">
        <v>5806</v>
      </c>
      <c r="AX342" s="310" t="s">
        <v>6129</v>
      </c>
      <c r="AY342" s="21" t="s">
        <v>6129</v>
      </c>
      <c r="AZ342" s="310">
        <v>16</v>
      </c>
      <c r="BA342" s="310">
        <f t="shared" si="160"/>
        <v>157</v>
      </c>
      <c r="BB342" s="21">
        <v>45</v>
      </c>
      <c r="BC342" s="21">
        <f t="shared" si="165"/>
        <v>45</v>
      </c>
      <c r="BD342" s="21">
        <v>50</v>
      </c>
      <c r="BE342" s="21">
        <v>50</v>
      </c>
      <c r="BF342" s="21">
        <v>0</v>
      </c>
      <c r="BG342" s="15" t="s">
        <v>6318</v>
      </c>
      <c r="BH342" s="310" t="s">
        <v>4465</v>
      </c>
      <c r="BI342" s="310" t="s">
        <v>6204</v>
      </c>
      <c r="BJ342" s="310">
        <v>4</v>
      </c>
      <c r="BK342" s="310">
        <v>6</v>
      </c>
      <c r="BL342" s="196" t="s">
        <v>5791</v>
      </c>
      <c r="BM342" s="197" t="s">
        <v>5791</v>
      </c>
      <c r="BN342" s="197" t="s">
        <v>5791</v>
      </c>
      <c r="BO342" s="197" t="s">
        <v>5791</v>
      </c>
      <c r="BP342" s="197" t="s">
        <v>5791</v>
      </c>
      <c r="BQ342" s="197" t="s">
        <v>5791</v>
      </c>
      <c r="BR342" s="197" t="s">
        <v>5791</v>
      </c>
      <c r="BS342" s="197" t="s">
        <v>5791</v>
      </c>
      <c r="BT342" s="196" t="s">
        <v>5791</v>
      </c>
      <c r="BU342" s="197" t="s">
        <v>5791</v>
      </c>
      <c r="BV342" s="197" t="s">
        <v>5791</v>
      </c>
      <c r="BW342" s="197" t="s">
        <v>5791</v>
      </c>
      <c r="BX342" s="197" t="s">
        <v>5791</v>
      </c>
      <c r="BY342" s="197" t="s">
        <v>5791</v>
      </c>
      <c r="BZ342" s="212" t="s">
        <v>5791</v>
      </c>
      <c r="CA342" s="197" t="s">
        <v>5791</v>
      </c>
      <c r="CB342" s="197" t="s">
        <v>5791</v>
      </c>
      <c r="CC342" s="197" t="s">
        <v>5791</v>
      </c>
      <c r="CD342" s="197" t="s">
        <v>5791</v>
      </c>
      <c r="CE342" s="197" t="s">
        <v>5791</v>
      </c>
      <c r="CF342" s="212" t="s">
        <v>5791</v>
      </c>
      <c r="CG342" s="32" t="s">
        <v>4450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4450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4450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5791</v>
      </c>
      <c r="CZ342" s="202" t="s">
        <v>5791</v>
      </c>
      <c r="DA342" s="202" t="s">
        <v>5791</v>
      </c>
      <c r="DB342" s="203" t="s">
        <v>5791</v>
      </c>
      <c r="DC342" s="201" t="s">
        <v>5791</v>
      </c>
      <c r="DD342" s="202" t="s">
        <v>5791</v>
      </c>
      <c r="DE342" s="203" t="s">
        <v>5791</v>
      </c>
      <c r="DF342" s="274" t="s">
        <v>5791</v>
      </c>
      <c r="DG342" s="310">
        <v>10.9</v>
      </c>
      <c r="DH342" s="310">
        <v>900</v>
      </c>
      <c r="DI342" s="32">
        <v>990</v>
      </c>
      <c r="DJ342" s="310">
        <v>1000</v>
      </c>
      <c r="DK342" s="32">
        <v>1100</v>
      </c>
      <c r="DL342" s="60">
        <v>200000</v>
      </c>
      <c r="DM342" s="40" t="s">
        <v>15</v>
      </c>
      <c r="DN342" s="301" t="s">
        <v>4560</v>
      </c>
      <c r="DO342" s="306" t="s">
        <v>4565</v>
      </c>
    </row>
    <row r="343" spans="1:119" ht="15.6" customHeight="1" thickBot="1">
      <c r="A343" s="301">
        <v>338</v>
      </c>
      <c r="B343" s="350"/>
      <c r="C343" s="350"/>
      <c r="D343" s="371"/>
      <c r="E343" s="372"/>
      <c r="F343" s="350"/>
      <c r="G343" s="370"/>
      <c r="H343" s="370"/>
      <c r="I343" s="370"/>
      <c r="J343" s="285" t="s">
        <v>4390</v>
      </c>
      <c r="K343" s="301" t="s">
        <v>6324</v>
      </c>
      <c r="L343" s="310" t="s">
        <v>6061</v>
      </c>
      <c r="M343" s="301" t="s">
        <v>4508</v>
      </c>
      <c r="N343" s="310" t="s">
        <v>4702</v>
      </c>
      <c r="O343" s="18" t="s">
        <v>4506</v>
      </c>
      <c r="P343" s="310" t="s">
        <v>6317</v>
      </c>
      <c r="Q343" s="310" t="s">
        <v>4420</v>
      </c>
      <c r="R343" s="310" t="s">
        <v>4420</v>
      </c>
      <c r="S343" s="310" t="s">
        <v>5791</v>
      </c>
      <c r="T343" s="59" t="s">
        <v>4420</v>
      </c>
      <c r="U343" s="59" t="s">
        <v>5791</v>
      </c>
      <c r="V343" s="59" t="s">
        <v>4420</v>
      </c>
      <c r="W343" s="59" t="s">
        <v>5791</v>
      </c>
      <c r="X343" s="310" t="s">
        <v>4420</v>
      </c>
      <c r="Y343" s="310" t="s">
        <v>5791</v>
      </c>
      <c r="Z343" s="310" t="s">
        <v>4559</v>
      </c>
      <c r="AA343" s="88">
        <v>0</v>
      </c>
      <c r="AB343" s="228">
        <v>0</v>
      </c>
      <c r="AC343" s="14">
        <v>0</v>
      </c>
      <c r="AD343" s="308" t="s">
        <v>6358</v>
      </c>
      <c r="AE343" s="23">
        <f>INDEX('[2]Cross-Section Database'!$C$2:$V$2928,MATCH(AD343,'[2]Cross-Section Database'!$B$2:$B$2928,0),3)</f>
        <v>114</v>
      </c>
      <c r="AF343" s="23">
        <f>INDEX('[2]Cross-Section Database'!$C$2:$V$2928,MATCH(AD343,'[2]Cross-Section Database'!$B$2:$B$2928,0),4)</f>
        <v>120</v>
      </c>
      <c r="AG343" s="55">
        <f>INDEX('[2]Cross-Section Database'!$C$2:$V$2928,MATCH(AD343,'[2]Cross-Section Database'!$B$2:$B$2928,0),6)</f>
        <v>8</v>
      </c>
      <c r="AH343" s="55">
        <f>INDEX('[2]Cross-Section Database'!$C$2:$V$2928,MATCH(AD343,'[2]Cross-Section Database'!$B$2:$B$2928,0),5)</f>
        <v>5</v>
      </c>
      <c r="AI343" s="23">
        <v>1100</v>
      </c>
      <c r="AJ343" s="308" t="s">
        <v>6359</v>
      </c>
      <c r="AK343" s="23">
        <f>INDEX('[2]Cross-Section Database'!$C$2:$V$2928,MATCH(AJ343,'[2]Cross-Section Database'!$B$2:$B$2928,0),3)</f>
        <v>160</v>
      </c>
      <c r="AL343" s="23">
        <f>INDEX('[2]Cross-Section Database'!$C$2:$V$2928,MATCH(AJ343,'[2]Cross-Section Database'!$B$2:$B$2928,0),4)</f>
        <v>82</v>
      </c>
      <c r="AM343" s="23">
        <f>INDEX('[2]Cross-Section Database'!$C$2:$V$2928,MATCH(AJ343,'[2]Cross-Section Database'!$B$2:$B$2928,0),6)</f>
        <v>7.4</v>
      </c>
      <c r="AN343" s="23">
        <f>INDEX('[2]Cross-Section Database'!$C$2:$V$2928,MATCH(AJ343,'[2]Cross-Section Database'!$B$2:$B$2928,0),5)</f>
        <v>5</v>
      </c>
      <c r="AO343" s="23">
        <v>1000</v>
      </c>
      <c r="AP343" s="23">
        <f>INDEX('[2]Cross-Section Database'!$C$2:$V$3928,MATCH(AJ343,'[2]Cross-Section Database'!$B$2:$B$3928,0),11)</f>
        <v>8690000</v>
      </c>
      <c r="AQ343" s="25">
        <f>INDEX('[2]Cross-Section Database'!$C$2:$V$3928,MATCH(AJ343,'[2]Cross-Section Database'!$B$2:$B$3928,0),12)</f>
        <v>124000</v>
      </c>
      <c r="AR343" s="23">
        <v>15</v>
      </c>
      <c r="AS343" s="23">
        <v>118</v>
      </c>
      <c r="AT343" s="23">
        <v>190</v>
      </c>
      <c r="AU343" s="23">
        <f t="shared" si="182"/>
        <v>15</v>
      </c>
      <c r="AV343" s="23">
        <f t="shared" si="183"/>
        <v>15</v>
      </c>
      <c r="AW343" s="308" t="s">
        <v>5806</v>
      </c>
      <c r="AX343" s="310" t="s">
        <v>6129</v>
      </c>
      <c r="AY343" s="23" t="s">
        <v>6129</v>
      </c>
      <c r="AZ343" s="311">
        <v>16</v>
      </c>
      <c r="BA343" s="311">
        <f t="shared" si="160"/>
        <v>157</v>
      </c>
      <c r="BB343" s="23">
        <v>45</v>
      </c>
      <c r="BC343" s="23">
        <f t="shared" si="165"/>
        <v>45</v>
      </c>
      <c r="BD343" s="23">
        <v>50</v>
      </c>
      <c r="BE343" s="23">
        <v>50</v>
      </c>
      <c r="BF343" s="23">
        <v>0</v>
      </c>
      <c r="BG343" s="19" t="s">
        <v>6318</v>
      </c>
      <c r="BH343" s="311" t="s">
        <v>4465</v>
      </c>
      <c r="BI343" s="311" t="s">
        <v>6204</v>
      </c>
      <c r="BJ343" s="311">
        <v>4</v>
      </c>
      <c r="BK343" s="311">
        <v>6</v>
      </c>
      <c r="BL343" s="191" t="s">
        <v>5791</v>
      </c>
      <c r="BM343" s="192" t="s">
        <v>5791</v>
      </c>
      <c r="BN343" s="192" t="s">
        <v>5791</v>
      </c>
      <c r="BO343" s="192" t="s">
        <v>5791</v>
      </c>
      <c r="BP343" s="192" t="s">
        <v>5791</v>
      </c>
      <c r="BQ343" s="192" t="s">
        <v>5791</v>
      </c>
      <c r="BR343" s="192" t="s">
        <v>5791</v>
      </c>
      <c r="BS343" s="192" t="s">
        <v>5791</v>
      </c>
      <c r="BT343" s="191" t="s">
        <v>5791</v>
      </c>
      <c r="BU343" s="192" t="s">
        <v>5791</v>
      </c>
      <c r="BV343" s="192" t="s">
        <v>5791</v>
      </c>
      <c r="BW343" s="192" t="s">
        <v>5791</v>
      </c>
      <c r="BX343" s="192" t="s">
        <v>5791</v>
      </c>
      <c r="BY343" s="192" t="s">
        <v>5791</v>
      </c>
      <c r="BZ343" s="214" t="s">
        <v>5791</v>
      </c>
      <c r="CA343" s="192" t="s">
        <v>5791</v>
      </c>
      <c r="CB343" s="192" t="s">
        <v>5791</v>
      </c>
      <c r="CC343" s="192" t="s">
        <v>5791</v>
      </c>
      <c r="CD343" s="192" t="s">
        <v>5791</v>
      </c>
      <c r="CE343" s="192" t="s">
        <v>5791</v>
      </c>
      <c r="CF343" s="214" t="s">
        <v>5791</v>
      </c>
      <c r="CG343" s="34" t="s">
        <v>4450</v>
      </c>
      <c r="CH343" s="86">
        <v>275</v>
      </c>
      <c r="CI343" s="34">
        <v>360</v>
      </c>
      <c r="CJ343" s="86">
        <v>410</v>
      </c>
      <c r="CK343" s="34">
        <v>530</v>
      </c>
      <c r="CL343" s="69">
        <v>200000</v>
      </c>
      <c r="CM343" s="130" t="s">
        <v>4450</v>
      </c>
      <c r="CN343" s="86">
        <v>275</v>
      </c>
      <c r="CO343" s="34">
        <v>360</v>
      </c>
      <c r="CP343" s="86">
        <v>410</v>
      </c>
      <c r="CQ343" s="34">
        <v>530</v>
      </c>
      <c r="CR343" s="69">
        <v>200000</v>
      </c>
      <c r="CS343" s="34" t="s">
        <v>4450</v>
      </c>
      <c r="CT343" s="86">
        <v>275</v>
      </c>
      <c r="CU343" s="34">
        <v>360</v>
      </c>
      <c r="CV343" s="86">
        <v>410</v>
      </c>
      <c r="CW343" s="34">
        <v>530</v>
      </c>
      <c r="CX343" s="76">
        <v>200000</v>
      </c>
      <c r="CY343" s="204" t="s">
        <v>5791</v>
      </c>
      <c r="CZ343" s="205" t="s">
        <v>5791</v>
      </c>
      <c r="DA343" s="205" t="s">
        <v>5791</v>
      </c>
      <c r="DB343" s="206" t="s">
        <v>5791</v>
      </c>
      <c r="DC343" s="204" t="s">
        <v>5791</v>
      </c>
      <c r="DD343" s="205" t="s">
        <v>5791</v>
      </c>
      <c r="DE343" s="206" t="s">
        <v>5791</v>
      </c>
      <c r="DF343" s="275" t="s">
        <v>5791</v>
      </c>
      <c r="DG343" s="311">
        <v>8.8000000000000007</v>
      </c>
      <c r="DH343" s="311">
        <v>660</v>
      </c>
      <c r="DI343" s="34">
        <v>730</v>
      </c>
      <c r="DJ343" s="311">
        <v>800</v>
      </c>
      <c r="DK343" s="34">
        <v>940</v>
      </c>
      <c r="DL343" s="76">
        <v>200000</v>
      </c>
      <c r="DM343" s="41" t="s">
        <v>15</v>
      </c>
      <c r="DN343" s="308" t="s">
        <v>4560</v>
      </c>
      <c r="DO343" s="306" t="s">
        <v>4565</v>
      </c>
    </row>
    <row r="344" spans="1:119" ht="15.6" customHeight="1">
      <c r="A344" s="300">
        <v>339</v>
      </c>
      <c r="B344" s="348">
        <v>52</v>
      </c>
      <c r="C344" s="348">
        <v>2016</v>
      </c>
      <c r="D344" s="357" t="s">
        <v>4698</v>
      </c>
      <c r="E344" s="359" t="s">
        <v>4841</v>
      </c>
      <c r="F344" s="348">
        <v>4</v>
      </c>
      <c r="G344" s="348" t="s">
        <v>5927</v>
      </c>
      <c r="H344" s="348" t="s">
        <v>5922</v>
      </c>
      <c r="I344" s="348" t="s">
        <v>6254</v>
      </c>
      <c r="J344" s="284" t="s">
        <v>6360</v>
      </c>
      <c r="K344" s="300" t="s">
        <v>6320</v>
      </c>
      <c r="L344" s="309" t="s">
        <v>5791</v>
      </c>
      <c r="M344" s="300" t="s">
        <v>4507</v>
      </c>
      <c r="N344" s="309" t="s">
        <v>4701</v>
      </c>
      <c r="O344" s="17" t="s">
        <v>4506</v>
      </c>
      <c r="P344" s="309" t="s">
        <v>6317</v>
      </c>
      <c r="Q344" s="309" t="s">
        <v>4470</v>
      </c>
      <c r="R344" s="309" t="s">
        <v>4420</v>
      </c>
      <c r="S344" s="309" t="s">
        <v>5791</v>
      </c>
      <c r="T344" s="64" t="s">
        <v>4420</v>
      </c>
      <c r="U344" s="64" t="s">
        <v>5791</v>
      </c>
      <c r="V344" s="64" t="s">
        <v>4420</v>
      </c>
      <c r="W344" s="64" t="s">
        <v>5791</v>
      </c>
      <c r="X344" s="309" t="s">
        <v>4420</v>
      </c>
      <c r="Y344" s="309" t="s">
        <v>5791</v>
      </c>
      <c r="Z344" s="309" t="s">
        <v>4559</v>
      </c>
      <c r="AA344" s="89">
        <v>0</v>
      </c>
      <c r="AB344" s="232">
        <v>0</v>
      </c>
      <c r="AC344" s="26">
        <v>3822.3</v>
      </c>
      <c r="AD344" s="300" t="s">
        <v>4494</v>
      </c>
      <c r="AE344" s="16">
        <v>360</v>
      </c>
      <c r="AF344" s="16">
        <v>360</v>
      </c>
      <c r="AG344" s="44">
        <v>5.87</v>
      </c>
      <c r="AH344" s="44">
        <v>5.87</v>
      </c>
      <c r="AI344" s="16">
        <v>2200</v>
      </c>
      <c r="AJ344" s="301" t="s">
        <v>6361</v>
      </c>
      <c r="AK344" s="16">
        <f>INDEX('[2]Cross-Section Database'!$C$2:$V$2928,MATCH(AJ344,'[2]Cross-Section Database'!$B$2:$B$2928,0),3)</f>
        <v>304</v>
      </c>
      <c r="AL344" s="16">
        <f>INDEX('[2]Cross-Section Database'!$C$2:$V$2928,MATCH(AJ344,'[2]Cross-Section Database'!$B$2:$B$2928,0),4)</f>
        <v>165</v>
      </c>
      <c r="AM344" s="16">
        <f>INDEX('[2]Cross-Section Database'!$C$2:$V$2928,MATCH(AJ344,'[2]Cross-Section Database'!$B$2:$B$2928,0),6)</f>
        <v>10.199999999999999</v>
      </c>
      <c r="AN344" s="16">
        <f>INDEX('[2]Cross-Section Database'!$C$2:$V$2928,MATCH(AJ344,'[2]Cross-Section Database'!$B$2:$B$2928,0),5)</f>
        <v>6.1</v>
      </c>
      <c r="AO344" s="16">
        <v>1320</v>
      </c>
      <c r="AP344" s="16">
        <f>INDEX('[2]Cross-Section Database'!$C$2:$V$3928,MATCH(AJ344,'[2]Cross-Section Database'!$B$2:$B$3928,0),11)</f>
        <v>86400000</v>
      </c>
      <c r="AQ344" s="26">
        <f>INDEX('[2]Cross-Section Database'!$C$2:$V$3928,MATCH(AJ344,'[2]Cross-Section Database'!$B$2:$B$3928,0),12)</f>
        <v>633000</v>
      </c>
      <c r="AR344" s="21">
        <v>9.92</v>
      </c>
      <c r="AS344" s="21">
        <v>230</v>
      </c>
      <c r="AT344" s="21">
        <v>304</v>
      </c>
      <c r="AU344" s="21">
        <f t="shared" si="182"/>
        <v>0</v>
      </c>
      <c r="AV344" s="21">
        <f t="shared" si="183"/>
        <v>0</v>
      </c>
      <c r="AW344" s="300" t="s">
        <v>5658</v>
      </c>
      <c r="AX344" s="309" t="s">
        <v>6129</v>
      </c>
      <c r="AY344" s="16" t="s">
        <v>6129</v>
      </c>
      <c r="AZ344" s="309">
        <v>20</v>
      </c>
      <c r="BA344" s="309">
        <f t="shared" si="160"/>
        <v>245</v>
      </c>
      <c r="BB344" s="16">
        <v>65</v>
      </c>
      <c r="BC344" s="16">
        <f t="shared" si="165"/>
        <v>65</v>
      </c>
      <c r="BD344" s="16">
        <v>87</v>
      </c>
      <c r="BE344" s="16">
        <v>100</v>
      </c>
      <c r="BF344" s="16">
        <v>0</v>
      </c>
      <c r="BG344" s="22" t="s">
        <v>6317</v>
      </c>
      <c r="BH344" s="309" t="s">
        <v>6204</v>
      </c>
      <c r="BI344" s="309" t="s">
        <v>6204</v>
      </c>
      <c r="BJ344" s="309">
        <v>2</v>
      </c>
      <c r="BK344" s="309">
        <v>6</v>
      </c>
      <c r="BL344" s="194" t="s">
        <v>5791</v>
      </c>
      <c r="BM344" s="195" t="s">
        <v>5791</v>
      </c>
      <c r="BN344" s="195" t="s">
        <v>5791</v>
      </c>
      <c r="BO344" s="195" t="s">
        <v>5791</v>
      </c>
      <c r="BP344" s="195" t="s">
        <v>5791</v>
      </c>
      <c r="BQ344" s="195" t="s">
        <v>5791</v>
      </c>
      <c r="BR344" s="195" t="s">
        <v>5791</v>
      </c>
      <c r="BS344" s="195" t="s">
        <v>5791</v>
      </c>
      <c r="BT344" s="194" t="s">
        <v>5791</v>
      </c>
      <c r="BU344" s="195" t="s">
        <v>5791</v>
      </c>
      <c r="BV344" s="195" t="s">
        <v>5791</v>
      </c>
      <c r="BW344" s="195" t="s">
        <v>5791</v>
      </c>
      <c r="BX344" s="195" t="s">
        <v>5791</v>
      </c>
      <c r="BY344" s="195" t="s">
        <v>5791</v>
      </c>
      <c r="BZ344" s="213" t="s">
        <v>5791</v>
      </c>
      <c r="CA344" s="195" t="s">
        <v>5791</v>
      </c>
      <c r="CB344" s="195" t="s">
        <v>5791</v>
      </c>
      <c r="CC344" s="195" t="s">
        <v>5791</v>
      </c>
      <c r="CD344" s="195" t="s">
        <v>5791</v>
      </c>
      <c r="CE344" s="195" t="s">
        <v>5791</v>
      </c>
      <c r="CF344" s="213" t="s">
        <v>5791</v>
      </c>
      <c r="CG344" s="309" t="s">
        <v>5662</v>
      </c>
      <c r="CH344" s="64">
        <v>230</v>
      </c>
      <c r="CI344" s="309">
        <v>339</v>
      </c>
      <c r="CJ344" s="64">
        <v>505</v>
      </c>
      <c r="CK344" s="309">
        <v>714</v>
      </c>
      <c r="CL344" s="80">
        <v>200985</v>
      </c>
      <c r="CM344" s="309" t="s">
        <v>5662</v>
      </c>
      <c r="CN344" s="64">
        <v>230</v>
      </c>
      <c r="CO344" s="309">
        <v>370</v>
      </c>
      <c r="CP344" s="64">
        <v>505</v>
      </c>
      <c r="CQ344" s="309">
        <v>534</v>
      </c>
      <c r="CR344" s="80">
        <v>203765</v>
      </c>
      <c r="CS344" s="309" t="s">
        <v>5662</v>
      </c>
      <c r="CT344" s="64">
        <v>230</v>
      </c>
      <c r="CU344" s="309">
        <v>388</v>
      </c>
      <c r="CV344" s="64">
        <v>505</v>
      </c>
      <c r="CW344" s="309">
        <v>506</v>
      </c>
      <c r="CX344" s="81">
        <v>206298</v>
      </c>
      <c r="CY344" s="198" t="s">
        <v>5791</v>
      </c>
      <c r="CZ344" s="199" t="s">
        <v>5791</v>
      </c>
      <c r="DA344" s="199" t="s">
        <v>5791</v>
      </c>
      <c r="DB344" s="200" t="s">
        <v>5791</v>
      </c>
      <c r="DC344" s="198" t="s">
        <v>5791</v>
      </c>
      <c r="DD344" s="199" t="s">
        <v>5791</v>
      </c>
      <c r="DE344" s="200" t="s">
        <v>5791</v>
      </c>
      <c r="DF344" s="273" t="s">
        <v>5791</v>
      </c>
      <c r="DG344" s="309">
        <v>8.8000000000000007</v>
      </c>
      <c r="DH344" s="309">
        <v>640</v>
      </c>
      <c r="DI344" s="309">
        <v>890</v>
      </c>
      <c r="DJ344" s="309">
        <v>800</v>
      </c>
      <c r="DK344" s="309">
        <v>953</v>
      </c>
      <c r="DL344" s="81">
        <v>218871</v>
      </c>
      <c r="DM344" s="28" t="s">
        <v>6052</v>
      </c>
      <c r="DN344" s="309" t="s">
        <v>4435</v>
      </c>
      <c r="DO344" s="305" t="s">
        <v>4565</v>
      </c>
    </row>
    <row r="345" spans="1:119">
      <c r="A345" s="301">
        <v>340</v>
      </c>
      <c r="B345" s="349"/>
      <c r="C345" s="349"/>
      <c r="D345" s="358"/>
      <c r="E345" s="360"/>
      <c r="F345" s="349"/>
      <c r="G345" s="349"/>
      <c r="H345" s="349"/>
      <c r="I345" s="349"/>
      <c r="J345" s="286" t="s">
        <v>4391</v>
      </c>
      <c r="K345" s="301" t="s">
        <v>6320</v>
      </c>
      <c r="L345" s="310" t="s">
        <v>5791</v>
      </c>
      <c r="M345" s="301" t="s">
        <v>4507</v>
      </c>
      <c r="N345" s="310" t="s">
        <v>4701</v>
      </c>
      <c r="O345" s="18" t="s">
        <v>4506</v>
      </c>
      <c r="P345" s="310" t="s">
        <v>6318</v>
      </c>
      <c r="Q345" s="310" t="s">
        <v>4470</v>
      </c>
      <c r="R345" s="310" t="s">
        <v>4420</v>
      </c>
      <c r="S345" s="310" t="s">
        <v>5791</v>
      </c>
      <c r="T345" s="59" t="s">
        <v>4420</v>
      </c>
      <c r="U345" s="59" t="s">
        <v>5791</v>
      </c>
      <c r="V345" s="59" t="s">
        <v>4420</v>
      </c>
      <c r="W345" s="59" t="s">
        <v>5791</v>
      </c>
      <c r="X345" s="310" t="s">
        <v>4420</v>
      </c>
      <c r="Y345" s="310" t="s">
        <v>5791</v>
      </c>
      <c r="Z345" s="310" t="s">
        <v>4559</v>
      </c>
      <c r="AA345" s="88">
        <v>0</v>
      </c>
      <c r="AB345" s="223">
        <v>0</v>
      </c>
      <c r="AC345" s="24">
        <v>3873.4</v>
      </c>
      <c r="AD345" s="301" t="s">
        <v>4494</v>
      </c>
      <c r="AE345" s="21">
        <v>360</v>
      </c>
      <c r="AF345" s="21">
        <v>360</v>
      </c>
      <c r="AG345" s="45">
        <v>5.87</v>
      </c>
      <c r="AH345" s="45">
        <v>5.87</v>
      </c>
      <c r="AI345" s="21">
        <v>2200</v>
      </c>
      <c r="AJ345" s="301" t="s">
        <v>6361</v>
      </c>
      <c r="AK345" s="21">
        <f>INDEX('[2]Cross-Section Database'!$C$2:$V$2928,MATCH(AJ345,'[2]Cross-Section Database'!$B$2:$B$2928,0),3)</f>
        <v>304</v>
      </c>
      <c r="AL345" s="21">
        <f>INDEX('[2]Cross-Section Database'!$C$2:$V$2928,MATCH(AJ345,'[2]Cross-Section Database'!$B$2:$B$2928,0),4)</f>
        <v>165</v>
      </c>
      <c r="AM345" s="21">
        <f>INDEX('[2]Cross-Section Database'!$C$2:$V$2928,MATCH(AJ345,'[2]Cross-Section Database'!$B$2:$B$2928,0),6)</f>
        <v>10.199999999999999</v>
      </c>
      <c r="AN345" s="21">
        <f>INDEX('[2]Cross-Section Database'!$C$2:$V$2928,MATCH(AJ345,'[2]Cross-Section Database'!$B$2:$B$2928,0),5)</f>
        <v>6.1</v>
      </c>
      <c r="AO345" s="21">
        <v>1320</v>
      </c>
      <c r="AP345" s="21">
        <f>INDEX('[2]Cross-Section Database'!$C$2:$V$3928,MATCH(AJ345,'[2]Cross-Section Database'!$B$2:$B$3928,0),11)</f>
        <v>86400000</v>
      </c>
      <c r="AQ345" s="24">
        <f>INDEX('[2]Cross-Section Database'!$C$2:$V$3928,MATCH(AJ345,'[2]Cross-Section Database'!$B$2:$B$3928,0),12)</f>
        <v>633000</v>
      </c>
      <c r="AR345" s="21">
        <v>9.92</v>
      </c>
      <c r="AS345" s="21">
        <v>230</v>
      </c>
      <c r="AT345" s="21">
        <v>304</v>
      </c>
      <c r="AU345" s="21">
        <f t="shared" si="182"/>
        <v>0</v>
      </c>
      <c r="AV345" s="21">
        <f t="shared" si="183"/>
        <v>0</v>
      </c>
      <c r="AW345" s="301" t="s">
        <v>5658</v>
      </c>
      <c r="AX345" s="310" t="s">
        <v>6129</v>
      </c>
      <c r="AY345" s="21" t="s">
        <v>6129</v>
      </c>
      <c r="AZ345" s="310">
        <v>20</v>
      </c>
      <c r="BA345" s="310">
        <f t="shared" si="160"/>
        <v>245</v>
      </c>
      <c r="BB345" s="21">
        <v>65</v>
      </c>
      <c r="BC345" s="21">
        <f t="shared" si="165"/>
        <v>65</v>
      </c>
      <c r="BD345" s="21">
        <v>87</v>
      </c>
      <c r="BE345" s="21">
        <v>100</v>
      </c>
      <c r="BF345" s="21">
        <v>0</v>
      </c>
      <c r="BG345" s="15" t="s">
        <v>6317</v>
      </c>
      <c r="BH345" s="310" t="s">
        <v>6204</v>
      </c>
      <c r="BI345" s="310" t="s">
        <v>6204</v>
      </c>
      <c r="BJ345" s="310">
        <v>2</v>
      </c>
      <c r="BK345" s="310">
        <v>6</v>
      </c>
      <c r="BL345" s="301">
        <v>120</v>
      </c>
      <c r="BM345" s="310">
        <v>900</v>
      </c>
      <c r="BN345" s="310" t="s">
        <v>6192</v>
      </c>
      <c r="BO345" s="310">
        <v>1</v>
      </c>
      <c r="BP345" s="310">
        <v>180</v>
      </c>
      <c r="BQ345" s="310">
        <v>1678</v>
      </c>
      <c r="BR345" s="310">
        <v>52</v>
      </c>
      <c r="BS345" s="310" t="s">
        <v>4589</v>
      </c>
      <c r="BT345" s="301" t="s">
        <v>5855</v>
      </c>
      <c r="BU345" s="310">
        <v>16</v>
      </c>
      <c r="BV345" s="310">
        <v>2</v>
      </c>
      <c r="BW345" s="310">
        <v>19</v>
      </c>
      <c r="BX345" s="310">
        <v>100</v>
      </c>
      <c r="BY345" s="310">
        <v>75</v>
      </c>
      <c r="BZ345" s="18">
        <v>190</v>
      </c>
      <c r="CA345" s="310" t="s">
        <v>4588</v>
      </c>
      <c r="CB345" s="310" t="s">
        <v>4587</v>
      </c>
      <c r="CC345" s="21">
        <f t="shared" ref="CC345:CC346" si="184">((BM345/200)+1)*PI()*10^2/4</f>
        <v>431.96898986859651</v>
      </c>
      <c r="CD345" s="21">
        <f>6*PI()*12^2/4</f>
        <v>678.58401317539528</v>
      </c>
      <c r="CE345" s="310">
        <v>20</v>
      </c>
      <c r="CF345" s="119">
        <v>1.1599999999999999E-2</v>
      </c>
      <c r="CG345" s="310" t="s">
        <v>5662</v>
      </c>
      <c r="CH345" s="59">
        <v>230</v>
      </c>
      <c r="CI345" s="310">
        <v>339</v>
      </c>
      <c r="CJ345" s="59">
        <v>505</v>
      </c>
      <c r="CK345" s="310">
        <v>714</v>
      </c>
      <c r="CL345" s="68">
        <v>200985</v>
      </c>
      <c r="CM345" s="310" t="s">
        <v>5662</v>
      </c>
      <c r="CN345" s="59">
        <v>230</v>
      </c>
      <c r="CO345" s="310">
        <v>370</v>
      </c>
      <c r="CP345" s="59">
        <v>505</v>
      </c>
      <c r="CQ345" s="310">
        <v>534</v>
      </c>
      <c r="CR345" s="68">
        <v>203765</v>
      </c>
      <c r="CS345" s="310" t="s">
        <v>5662</v>
      </c>
      <c r="CT345" s="59">
        <v>230</v>
      </c>
      <c r="CU345" s="310">
        <v>388</v>
      </c>
      <c r="CV345" s="59">
        <v>505</v>
      </c>
      <c r="CW345" s="310">
        <v>506</v>
      </c>
      <c r="CX345" s="63">
        <v>206298</v>
      </c>
      <c r="CY345" s="91" t="s">
        <v>5667</v>
      </c>
      <c r="CZ345" s="63">
        <v>33.6</v>
      </c>
      <c r="DA345" s="60">
        <v>2.9</v>
      </c>
      <c r="DB345" s="66">
        <v>32000</v>
      </c>
      <c r="DC345" s="91">
        <v>538</v>
      </c>
      <c r="DD345" s="63">
        <v>653</v>
      </c>
      <c r="DE345" s="68">
        <v>200371</v>
      </c>
      <c r="DF345" s="295">
        <v>550</v>
      </c>
      <c r="DG345" s="310">
        <v>8.8000000000000007</v>
      </c>
      <c r="DH345" s="310">
        <v>640</v>
      </c>
      <c r="DI345" s="310">
        <v>890</v>
      </c>
      <c r="DJ345" s="310">
        <v>800</v>
      </c>
      <c r="DK345" s="310">
        <v>953</v>
      </c>
      <c r="DL345" s="63">
        <v>218871</v>
      </c>
      <c r="DM345" s="29" t="s">
        <v>6054</v>
      </c>
      <c r="DN345" s="310" t="s">
        <v>4435</v>
      </c>
      <c r="DO345" s="306" t="s">
        <v>4565</v>
      </c>
    </row>
    <row r="346" spans="1:119" ht="15.6" customHeight="1">
      <c r="A346" s="301">
        <v>341</v>
      </c>
      <c r="B346" s="349"/>
      <c r="C346" s="349"/>
      <c r="D346" s="358"/>
      <c r="E346" s="360"/>
      <c r="F346" s="349"/>
      <c r="G346" s="349"/>
      <c r="H346" s="349"/>
      <c r="I346" s="349"/>
      <c r="J346" s="286" t="s">
        <v>4392</v>
      </c>
      <c r="K346" s="301" t="s">
        <v>6320</v>
      </c>
      <c r="L346" s="310" t="s">
        <v>5791</v>
      </c>
      <c r="M346" s="301" t="s">
        <v>4507</v>
      </c>
      <c r="N346" s="310" t="s">
        <v>4701</v>
      </c>
      <c r="O346" s="18" t="s">
        <v>4506</v>
      </c>
      <c r="P346" s="310" t="s">
        <v>6318</v>
      </c>
      <c r="Q346" s="310" t="s">
        <v>4470</v>
      </c>
      <c r="R346" s="310" t="s">
        <v>4420</v>
      </c>
      <c r="S346" s="310" t="s">
        <v>5791</v>
      </c>
      <c r="T346" s="59" t="s">
        <v>4420</v>
      </c>
      <c r="U346" s="59" t="s">
        <v>5791</v>
      </c>
      <c r="V346" s="59" t="s">
        <v>4420</v>
      </c>
      <c r="W346" s="59" t="s">
        <v>5791</v>
      </c>
      <c r="X346" s="310" t="s">
        <v>4420</v>
      </c>
      <c r="Y346" s="310" t="s">
        <v>5791</v>
      </c>
      <c r="Z346" s="310" t="s">
        <v>4559</v>
      </c>
      <c r="AA346" s="88">
        <v>0</v>
      </c>
      <c r="AB346" s="223">
        <v>0</v>
      </c>
      <c r="AC346" s="24">
        <v>3811.9</v>
      </c>
      <c r="AD346" s="301" t="s">
        <v>4494</v>
      </c>
      <c r="AE346" s="21">
        <v>360</v>
      </c>
      <c r="AF346" s="21">
        <v>360</v>
      </c>
      <c r="AG346" s="45">
        <v>5.87</v>
      </c>
      <c r="AH346" s="45">
        <v>5.87</v>
      </c>
      <c r="AI346" s="21">
        <v>2200</v>
      </c>
      <c r="AJ346" s="301" t="s">
        <v>6361</v>
      </c>
      <c r="AK346" s="21">
        <f>INDEX('[2]Cross-Section Database'!$C$2:$V$2928,MATCH(AJ346,'[2]Cross-Section Database'!$B$2:$B$2928,0),3)</f>
        <v>304</v>
      </c>
      <c r="AL346" s="21">
        <f>INDEX('[2]Cross-Section Database'!$C$2:$V$2928,MATCH(AJ346,'[2]Cross-Section Database'!$B$2:$B$2928,0),4)</f>
        <v>165</v>
      </c>
      <c r="AM346" s="21">
        <f>INDEX('[2]Cross-Section Database'!$C$2:$V$2928,MATCH(AJ346,'[2]Cross-Section Database'!$B$2:$B$2928,0),6)</f>
        <v>10.199999999999999</v>
      </c>
      <c r="AN346" s="21">
        <f>INDEX('[2]Cross-Section Database'!$C$2:$V$2928,MATCH(AJ346,'[2]Cross-Section Database'!$B$2:$B$2928,0),5)</f>
        <v>6.1</v>
      </c>
      <c r="AO346" s="21">
        <v>1320</v>
      </c>
      <c r="AP346" s="21">
        <f>INDEX('[2]Cross-Section Database'!$C$2:$V$3928,MATCH(AJ346,'[2]Cross-Section Database'!$B$2:$B$3928,0),11)</f>
        <v>86400000</v>
      </c>
      <c r="AQ346" s="24">
        <f>INDEX('[2]Cross-Section Database'!$C$2:$V$3928,MATCH(AJ346,'[2]Cross-Section Database'!$B$2:$B$3928,0),12)</f>
        <v>633000</v>
      </c>
      <c r="AR346" s="21">
        <v>9.92</v>
      </c>
      <c r="AS346" s="21">
        <v>230</v>
      </c>
      <c r="AT346" s="21">
        <v>304</v>
      </c>
      <c r="AU346" s="21">
        <f t="shared" si="182"/>
        <v>0</v>
      </c>
      <c r="AV346" s="21">
        <f t="shared" si="183"/>
        <v>0</v>
      </c>
      <c r="AW346" s="301" t="s">
        <v>5658</v>
      </c>
      <c r="AX346" s="310" t="s">
        <v>6129</v>
      </c>
      <c r="AY346" s="21" t="s">
        <v>6129</v>
      </c>
      <c r="AZ346" s="310">
        <v>20</v>
      </c>
      <c r="BA346" s="310">
        <f t="shared" si="160"/>
        <v>245</v>
      </c>
      <c r="BB346" s="21">
        <v>65</v>
      </c>
      <c r="BC346" s="21">
        <f t="shared" si="165"/>
        <v>65</v>
      </c>
      <c r="BD346" s="21">
        <v>87</v>
      </c>
      <c r="BE346" s="21">
        <v>100</v>
      </c>
      <c r="BF346" s="21">
        <v>0</v>
      </c>
      <c r="BG346" s="15" t="s">
        <v>6317</v>
      </c>
      <c r="BH346" s="310" t="s">
        <v>6204</v>
      </c>
      <c r="BI346" s="310" t="s">
        <v>6204</v>
      </c>
      <c r="BJ346" s="310">
        <v>2</v>
      </c>
      <c r="BK346" s="310">
        <v>6</v>
      </c>
      <c r="BL346" s="301">
        <v>120</v>
      </c>
      <c r="BM346" s="310">
        <v>900</v>
      </c>
      <c r="BN346" s="310" t="s">
        <v>6192</v>
      </c>
      <c r="BO346" s="310">
        <v>1</v>
      </c>
      <c r="BP346" s="310">
        <v>180</v>
      </c>
      <c r="BQ346" s="310">
        <v>1678</v>
      </c>
      <c r="BR346" s="310">
        <v>52</v>
      </c>
      <c r="BS346" s="310" t="s">
        <v>4589</v>
      </c>
      <c r="BT346" s="301" t="s">
        <v>5855</v>
      </c>
      <c r="BU346" s="310">
        <v>16</v>
      </c>
      <c r="BV346" s="310">
        <v>2</v>
      </c>
      <c r="BW346" s="310">
        <v>19</v>
      </c>
      <c r="BX346" s="310">
        <v>100</v>
      </c>
      <c r="BY346" s="310">
        <v>75</v>
      </c>
      <c r="BZ346" s="18">
        <v>190</v>
      </c>
      <c r="CA346" s="310" t="s">
        <v>4588</v>
      </c>
      <c r="CB346" s="310" t="s">
        <v>4587</v>
      </c>
      <c r="CC346" s="21">
        <f t="shared" si="184"/>
        <v>431.96898986859651</v>
      </c>
      <c r="CD346" s="21">
        <f>6*PI()*12^2/4</f>
        <v>678.58401317539528</v>
      </c>
      <c r="CE346" s="310">
        <v>20</v>
      </c>
      <c r="CF346" s="119">
        <v>1.1599999999999999E-2</v>
      </c>
      <c r="CG346" s="310" t="s">
        <v>5662</v>
      </c>
      <c r="CH346" s="59">
        <v>230</v>
      </c>
      <c r="CI346" s="310">
        <v>339</v>
      </c>
      <c r="CJ346" s="59">
        <v>505</v>
      </c>
      <c r="CK346" s="310">
        <v>714</v>
      </c>
      <c r="CL346" s="68">
        <v>200985</v>
      </c>
      <c r="CM346" s="310" t="s">
        <v>5662</v>
      </c>
      <c r="CN346" s="59">
        <v>230</v>
      </c>
      <c r="CO346" s="310">
        <v>370</v>
      </c>
      <c r="CP346" s="59">
        <v>505</v>
      </c>
      <c r="CQ346" s="310">
        <v>534</v>
      </c>
      <c r="CR346" s="68">
        <v>203765</v>
      </c>
      <c r="CS346" s="310" t="s">
        <v>5662</v>
      </c>
      <c r="CT346" s="59">
        <v>230</v>
      </c>
      <c r="CU346" s="310">
        <v>388</v>
      </c>
      <c r="CV346" s="59">
        <v>505</v>
      </c>
      <c r="CW346" s="310">
        <v>506</v>
      </c>
      <c r="CX346" s="63">
        <v>206298</v>
      </c>
      <c r="CY346" s="91" t="s">
        <v>5667</v>
      </c>
      <c r="CZ346" s="63">
        <v>35.700000000000003</v>
      </c>
      <c r="DA346" s="60">
        <v>2.9</v>
      </c>
      <c r="DB346" s="66">
        <v>32000</v>
      </c>
      <c r="DC346" s="91">
        <v>538</v>
      </c>
      <c r="DD346" s="63">
        <v>653</v>
      </c>
      <c r="DE346" s="68">
        <v>200371</v>
      </c>
      <c r="DF346" s="295">
        <v>550</v>
      </c>
      <c r="DG346" s="310">
        <v>8.8000000000000007</v>
      </c>
      <c r="DH346" s="310">
        <v>640</v>
      </c>
      <c r="DI346" s="310">
        <v>890</v>
      </c>
      <c r="DJ346" s="310">
        <v>800</v>
      </c>
      <c r="DK346" s="310">
        <v>953</v>
      </c>
      <c r="DL346" s="63">
        <v>218871</v>
      </c>
      <c r="DM346" s="29" t="s">
        <v>6054</v>
      </c>
      <c r="DN346" s="301" t="s">
        <v>4435</v>
      </c>
      <c r="DO346" s="306" t="s">
        <v>4565</v>
      </c>
    </row>
    <row r="347" spans="1:119" ht="15.6" customHeight="1" thickBot="1">
      <c r="A347" s="308">
        <v>342</v>
      </c>
      <c r="B347" s="349"/>
      <c r="C347" s="349"/>
      <c r="D347" s="358"/>
      <c r="E347" s="360"/>
      <c r="F347" s="349"/>
      <c r="G347" s="350"/>
      <c r="H347" s="350"/>
      <c r="I347" s="350"/>
      <c r="J347" s="285" t="s">
        <v>4393</v>
      </c>
      <c r="K347" s="308" t="s">
        <v>6324</v>
      </c>
      <c r="L347" s="311" t="s">
        <v>6061</v>
      </c>
      <c r="M347" s="308" t="s">
        <v>4507</v>
      </c>
      <c r="N347" s="311" t="s">
        <v>4701</v>
      </c>
      <c r="O347" s="14" t="s">
        <v>4506</v>
      </c>
      <c r="P347" s="311" t="s">
        <v>6318</v>
      </c>
      <c r="Q347" s="311" t="s">
        <v>4470</v>
      </c>
      <c r="R347" s="311" t="s">
        <v>4420</v>
      </c>
      <c r="S347" s="311" t="s">
        <v>5791</v>
      </c>
      <c r="T347" s="86" t="s">
        <v>4420</v>
      </c>
      <c r="U347" s="86" t="s">
        <v>5791</v>
      </c>
      <c r="V347" s="86" t="s">
        <v>4420</v>
      </c>
      <c r="W347" s="86" t="s">
        <v>5791</v>
      </c>
      <c r="X347" s="311" t="s">
        <v>4420</v>
      </c>
      <c r="Y347" s="311" t="s">
        <v>5791</v>
      </c>
      <c r="Z347" s="311" t="s">
        <v>4559</v>
      </c>
      <c r="AA347" s="90">
        <v>0</v>
      </c>
      <c r="AB347" s="228">
        <v>0</v>
      </c>
      <c r="AC347" s="25">
        <v>3938.7</v>
      </c>
      <c r="AD347" s="308" t="s">
        <v>4494</v>
      </c>
      <c r="AE347" s="23">
        <v>360</v>
      </c>
      <c r="AF347" s="23">
        <v>360</v>
      </c>
      <c r="AG347" s="55">
        <v>5.87</v>
      </c>
      <c r="AH347" s="55">
        <v>5.87</v>
      </c>
      <c r="AI347" s="23">
        <v>2200</v>
      </c>
      <c r="AJ347" s="301" t="s">
        <v>6361</v>
      </c>
      <c r="AK347" s="21">
        <f>INDEX('[2]Cross-Section Database'!$C$2:$V$2928,MATCH(AJ347,'[2]Cross-Section Database'!$B$2:$B$2928,0),3)</f>
        <v>304</v>
      </c>
      <c r="AL347" s="21">
        <f>INDEX('[2]Cross-Section Database'!$C$2:$V$2928,MATCH(AJ347,'[2]Cross-Section Database'!$B$2:$B$2928,0),4)</f>
        <v>165</v>
      </c>
      <c r="AM347" s="21">
        <f>INDEX('[2]Cross-Section Database'!$C$2:$V$2928,MATCH(AJ347,'[2]Cross-Section Database'!$B$2:$B$2928,0),6)</f>
        <v>10.199999999999999</v>
      </c>
      <c r="AN347" s="21">
        <f>INDEX('[2]Cross-Section Database'!$C$2:$V$2928,MATCH(AJ347,'[2]Cross-Section Database'!$B$2:$B$2928,0),5)</f>
        <v>6.1</v>
      </c>
      <c r="AO347" s="21">
        <v>1320</v>
      </c>
      <c r="AP347" s="21">
        <f>INDEX('[2]Cross-Section Database'!$C$2:$V$3928,MATCH(AJ347,'[2]Cross-Section Database'!$B$2:$B$3928,0),11)</f>
        <v>86400000</v>
      </c>
      <c r="AQ347" s="24">
        <f>INDEX('[2]Cross-Section Database'!$C$2:$V$3928,MATCH(AJ347,'[2]Cross-Section Database'!$B$2:$B$3928,0),12)</f>
        <v>633000</v>
      </c>
      <c r="AR347" s="23">
        <v>9.92</v>
      </c>
      <c r="AS347" s="23">
        <v>230</v>
      </c>
      <c r="AT347" s="23">
        <v>304</v>
      </c>
      <c r="AU347" s="23">
        <f t="shared" si="182"/>
        <v>0</v>
      </c>
      <c r="AV347" s="23">
        <f t="shared" si="183"/>
        <v>0</v>
      </c>
      <c r="AW347" s="308" t="s">
        <v>5658</v>
      </c>
      <c r="AX347" s="311" t="s">
        <v>6129</v>
      </c>
      <c r="AY347" s="23" t="s">
        <v>6129</v>
      </c>
      <c r="AZ347" s="311">
        <v>20</v>
      </c>
      <c r="BA347" s="311">
        <f t="shared" si="160"/>
        <v>245</v>
      </c>
      <c r="BB347" s="23">
        <v>65</v>
      </c>
      <c r="BC347" s="23">
        <f t="shared" si="165"/>
        <v>65</v>
      </c>
      <c r="BD347" s="23">
        <v>87</v>
      </c>
      <c r="BE347" s="23">
        <v>100</v>
      </c>
      <c r="BF347" s="23">
        <v>0</v>
      </c>
      <c r="BG347" s="19" t="s">
        <v>6317</v>
      </c>
      <c r="BH347" s="311" t="s">
        <v>6204</v>
      </c>
      <c r="BI347" s="311" t="s">
        <v>6204</v>
      </c>
      <c r="BJ347" s="311">
        <v>2</v>
      </c>
      <c r="BK347" s="311">
        <v>6</v>
      </c>
      <c r="BL347" s="301">
        <v>120</v>
      </c>
      <c r="BM347" s="310">
        <v>900</v>
      </c>
      <c r="BN347" s="310" t="s">
        <v>6192</v>
      </c>
      <c r="BO347" s="310">
        <v>1</v>
      </c>
      <c r="BP347" s="310">
        <v>180</v>
      </c>
      <c r="BQ347" s="310">
        <v>1678</v>
      </c>
      <c r="BR347" s="310">
        <v>52</v>
      </c>
      <c r="BS347" s="310" t="s">
        <v>4589</v>
      </c>
      <c r="BT347" s="301" t="s">
        <v>5855</v>
      </c>
      <c r="BU347" s="310">
        <v>16</v>
      </c>
      <c r="BV347" s="310">
        <v>2</v>
      </c>
      <c r="BW347" s="310">
        <v>19</v>
      </c>
      <c r="BX347" s="310">
        <v>100</v>
      </c>
      <c r="BY347" s="310">
        <v>75</v>
      </c>
      <c r="BZ347" s="18">
        <v>190</v>
      </c>
      <c r="CA347" s="310" t="s">
        <v>4588</v>
      </c>
      <c r="CB347" s="310" t="s">
        <v>4587</v>
      </c>
      <c r="CC347" s="23">
        <f>((BM347/200)+1)*PI()*10^2/4</f>
        <v>431.96898986859651</v>
      </c>
      <c r="CD347" s="21">
        <f>6*PI()*12^2/4</f>
        <v>678.58401317539528</v>
      </c>
      <c r="CE347" s="310">
        <v>20</v>
      </c>
      <c r="CF347" s="119">
        <v>1.1599999999999999E-2</v>
      </c>
      <c r="CG347" s="311" t="s">
        <v>5662</v>
      </c>
      <c r="CH347" s="86">
        <v>230</v>
      </c>
      <c r="CI347" s="311">
        <v>339</v>
      </c>
      <c r="CJ347" s="86">
        <v>505</v>
      </c>
      <c r="CK347" s="311">
        <v>714</v>
      </c>
      <c r="CL347" s="82">
        <v>200985</v>
      </c>
      <c r="CM347" s="311" t="s">
        <v>5662</v>
      </c>
      <c r="CN347" s="86">
        <v>230</v>
      </c>
      <c r="CO347" s="311">
        <v>370</v>
      </c>
      <c r="CP347" s="86">
        <v>505</v>
      </c>
      <c r="CQ347" s="311">
        <v>534</v>
      </c>
      <c r="CR347" s="82">
        <v>203765</v>
      </c>
      <c r="CS347" s="311" t="s">
        <v>5662</v>
      </c>
      <c r="CT347" s="86">
        <v>230</v>
      </c>
      <c r="CU347" s="311">
        <v>388</v>
      </c>
      <c r="CV347" s="86">
        <v>505</v>
      </c>
      <c r="CW347" s="311">
        <v>506</v>
      </c>
      <c r="CX347" s="83">
        <v>206298</v>
      </c>
      <c r="CY347" s="92" t="s">
        <v>5667</v>
      </c>
      <c r="CZ347" s="83">
        <v>39.799999999999997</v>
      </c>
      <c r="DA347" s="76">
        <v>2.9</v>
      </c>
      <c r="DB347" s="69">
        <v>32000</v>
      </c>
      <c r="DC347" s="92">
        <v>538</v>
      </c>
      <c r="DD347" s="83">
        <v>653</v>
      </c>
      <c r="DE347" s="82">
        <v>200371</v>
      </c>
      <c r="DF347" s="295">
        <v>550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3">
        <v>218871</v>
      </c>
      <c r="DM347" s="27" t="s">
        <v>6055</v>
      </c>
      <c r="DN347" s="308" t="s">
        <v>4435</v>
      </c>
      <c r="DO347" s="306" t="s">
        <v>4565</v>
      </c>
    </row>
    <row r="348" spans="1:119" ht="15.6" customHeight="1" thickBot="1">
      <c r="A348" s="9">
        <v>343</v>
      </c>
      <c r="B348" s="8">
        <v>53</v>
      </c>
      <c r="C348" s="8">
        <v>2017</v>
      </c>
      <c r="D348" s="9" t="s">
        <v>4684</v>
      </c>
      <c r="E348" s="9" t="s">
        <v>4840</v>
      </c>
      <c r="F348" s="8">
        <v>1</v>
      </c>
      <c r="G348" s="8" t="s">
        <v>5931</v>
      </c>
      <c r="H348" s="8" t="s">
        <v>5922</v>
      </c>
      <c r="I348" s="8" t="s">
        <v>6255</v>
      </c>
      <c r="J348" s="287" t="s">
        <v>4634</v>
      </c>
      <c r="K348" s="9" t="s">
        <v>4383</v>
      </c>
      <c r="L348" s="107" t="s">
        <v>5791</v>
      </c>
      <c r="M348" s="9" t="s">
        <v>4507</v>
      </c>
      <c r="N348" s="107" t="s">
        <v>4700</v>
      </c>
      <c r="O348" s="108" t="s">
        <v>4506</v>
      </c>
      <c r="P348" s="107" t="s">
        <v>4470</v>
      </c>
      <c r="Q348" s="107" t="s">
        <v>4470</v>
      </c>
      <c r="R348" s="107" t="s">
        <v>4420</v>
      </c>
      <c r="S348" s="107" t="s">
        <v>5791</v>
      </c>
      <c r="T348" s="154" t="s">
        <v>4420</v>
      </c>
      <c r="U348" s="154" t="s">
        <v>5791</v>
      </c>
      <c r="V348" s="154" t="s">
        <v>4420</v>
      </c>
      <c r="W348" s="154" t="s">
        <v>5791</v>
      </c>
      <c r="X348" s="107" t="s">
        <v>4420</v>
      </c>
      <c r="Y348" s="107" t="s">
        <v>5791</v>
      </c>
      <c r="Z348" s="34" t="s">
        <v>4558</v>
      </c>
      <c r="AA348" s="108">
        <v>6</v>
      </c>
      <c r="AB348" s="223">
        <v>0</v>
      </c>
      <c r="AC348" s="18">
        <v>0</v>
      </c>
      <c r="AD348" s="9" t="s">
        <v>5508</v>
      </c>
      <c r="AE348" s="21">
        <f>INDEX('[2]Cross-Section Database'!$C$2:$V$2928,MATCH(AD348,'[2]Cross-Section Database'!$B$2:$B$2928,0),3)</f>
        <v>250</v>
      </c>
      <c r="AF348" s="21">
        <f>INDEX('[2]Cross-Section Database'!$C$2:$V$2928,MATCH(AD348,'[2]Cross-Section Database'!$B$2:$B$2928,0),4)</f>
        <v>250</v>
      </c>
      <c r="AG348" s="21">
        <f>INDEX('[2]Cross-Section Database'!$C$2:$V$2928,MATCH(AD348,'[2]Cross-Section Database'!$B$2:$B$2928,0),6)</f>
        <v>8.8000000000000007</v>
      </c>
      <c r="AH348" s="21">
        <f>INDEX('[2]Cross-Section Database'!$C$2:$V$2928,MATCH(AD348,'[2]Cross-Section Database'!$B$2:$B$2928,0),5)</f>
        <v>8.8000000000000007</v>
      </c>
      <c r="AI348" s="109">
        <v>1024</v>
      </c>
      <c r="AJ348" s="9" t="s">
        <v>4635</v>
      </c>
      <c r="AK348" s="109">
        <f>INDEX('[2]Cross-Section Database'!$C$2:$V$2928,MATCH(AJ348,'[2]Cross-Section Database'!$B$2:$B$2928,0),3)</f>
        <v>454</v>
      </c>
      <c r="AL348" s="109">
        <f>INDEX('[2]Cross-Section Database'!$C$2:$V$2928,MATCH(AJ348,'[2]Cross-Section Database'!$B$2:$B$2928,0),4)</f>
        <v>190</v>
      </c>
      <c r="AM348" s="109">
        <f>INDEX('[2]Cross-Section Database'!$C$2:$V$2928,MATCH(AJ348,'[2]Cross-Section Database'!$B$2:$B$2928,0),6)</f>
        <v>12.7</v>
      </c>
      <c r="AN348" s="109">
        <f>INDEX('[2]Cross-Section Database'!$C$2:$V$2928,MATCH(AJ348,'[2]Cross-Section Database'!$B$2:$B$2928,0),5)</f>
        <v>8.5</v>
      </c>
      <c r="AO348" s="109">
        <v>1400</v>
      </c>
      <c r="AP348" s="109">
        <f>INDEX('[2]Cross-Section Database'!$C$2:$V$3928,MATCH(AJ348,'[2]Cross-Section Database'!$B$2:$B$3928,0),11)</f>
        <v>296000000</v>
      </c>
      <c r="AQ348" s="110">
        <f>INDEX('[2]Cross-Section Database'!$C$2:$V$3928,MATCH(AJ348,'[2]Cross-Section Database'!$B$2:$B$3928,0),12)</f>
        <v>1480000</v>
      </c>
      <c r="AR348" s="109">
        <v>12</v>
      </c>
      <c r="AS348" s="109">
        <v>210</v>
      </c>
      <c r="AT348" s="109">
        <v>474</v>
      </c>
      <c r="AU348" s="109">
        <v>10</v>
      </c>
      <c r="AV348" s="109">
        <f t="shared" si="183"/>
        <v>10</v>
      </c>
      <c r="AW348" s="9" t="s">
        <v>5671</v>
      </c>
      <c r="AX348" s="107" t="s">
        <v>4636</v>
      </c>
      <c r="AY348" s="109">
        <f>380/AZ348/0.25</f>
        <v>76</v>
      </c>
      <c r="AZ348" s="107">
        <v>20</v>
      </c>
      <c r="BA348" s="107">
        <f t="shared" si="160"/>
        <v>245</v>
      </c>
      <c r="BB348" s="109">
        <v>63</v>
      </c>
      <c r="BC348" s="109">
        <f>BB348</f>
        <v>63</v>
      </c>
      <c r="BD348" s="109">
        <v>174</v>
      </c>
      <c r="BE348" s="109">
        <v>90</v>
      </c>
      <c r="BF348" s="109">
        <v>0</v>
      </c>
      <c r="BG348" s="111" t="s">
        <v>4470</v>
      </c>
      <c r="BH348" s="107" t="s">
        <v>6204</v>
      </c>
      <c r="BI348" s="107" t="s">
        <v>6204</v>
      </c>
      <c r="BJ348" s="107">
        <v>2</v>
      </c>
      <c r="BK348" s="107">
        <v>6</v>
      </c>
      <c r="BL348" s="9">
        <v>120</v>
      </c>
      <c r="BM348" s="107">
        <v>1000</v>
      </c>
      <c r="BN348" s="107" t="s">
        <v>6193</v>
      </c>
      <c r="BO348" s="107">
        <v>1</v>
      </c>
      <c r="BP348" s="107">
        <v>300</v>
      </c>
      <c r="BQ348" s="107">
        <v>1620</v>
      </c>
      <c r="BR348" s="107">
        <v>55</v>
      </c>
      <c r="BS348" s="107" t="s">
        <v>4590</v>
      </c>
      <c r="BT348" s="9" t="s">
        <v>5855</v>
      </c>
      <c r="BU348" s="107">
        <v>7</v>
      </c>
      <c r="BV348" s="107">
        <v>1</v>
      </c>
      <c r="BW348" s="107">
        <v>19</v>
      </c>
      <c r="BX348" s="107">
        <v>100</v>
      </c>
      <c r="BY348" s="107">
        <v>175</v>
      </c>
      <c r="BZ348" s="108">
        <v>200</v>
      </c>
      <c r="CA348" s="9" t="s">
        <v>4586</v>
      </c>
      <c r="CB348" s="107" t="s">
        <v>4601</v>
      </c>
      <c r="CC348" s="109">
        <f>((BM348/200)+1)*PI()*12^2/4</f>
        <v>678.58401317539528</v>
      </c>
      <c r="CD348" s="109">
        <f>6*PI()*16^2/4</f>
        <v>1206.3715789784806</v>
      </c>
      <c r="CE348" s="112">
        <v>20</v>
      </c>
      <c r="CF348" s="122">
        <v>1.8599999999999998E-2</v>
      </c>
      <c r="CG348" s="107" t="s">
        <v>5661</v>
      </c>
      <c r="CH348" s="154">
        <v>350</v>
      </c>
      <c r="CI348" s="109">
        <v>460</v>
      </c>
      <c r="CJ348" s="154">
        <v>470</v>
      </c>
      <c r="CK348" s="109">
        <v>526</v>
      </c>
      <c r="CL348" s="114">
        <v>200000</v>
      </c>
      <c r="CM348" s="116" t="s">
        <v>5663</v>
      </c>
      <c r="CN348" s="133">
        <v>300</v>
      </c>
      <c r="CO348" s="109">
        <v>356.5</v>
      </c>
      <c r="CP348" s="133">
        <v>505</v>
      </c>
      <c r="CQ348" s="109">
        <v>486.5</v>
      </c>
      <c r="CR348" s="114">
        <v>200000</v>
      </c>
      <c r="CS348" s="107" t="s">
        <v>5661</v>
      </c>
      <c r="CT348" s="154">
        <v>350</v>
      </c>
      <c r="CU348" s="109">
        <v>358</v>
      </c>
      <c r="CV348" s="133">
        <v>470</v>
      </c>
      <c r="CW348" s="109">
        <v>494</v>
      </c>
      <c r="CX348" s="114">
        <v>200000</v>
      </c>
      <c r="CY348" s="146" t="s">
        <v>5674</v>
      </c>
      <c r="CZ348" s="109">
        <v>41.7</v>
      </c>
      <c r="DA348" s="109">
        <v>3.9</v>
      </c>
      <c r="DB348" s="114">
        <v>34000</v>
      </c>
      <c r="DC348" s="9">
        <v>565</v>
      </c>
      <c r="DD348" s="107">
        <v>660</v>
      </c>
      <c r="DE348" s="114">
        <v>200000</v>
      </c>
      <c r="DF348" s="8">
        <v>550</v>
      </c>
      <c r="DG348" s="107">
        <v>8.8000000000000007</v>
      </c>
      <c r="DH348" s="107">
        <v>640</v>
      </c>
      <c r="DI348" s="107">
        <v>820</v>
      </c>
      <c r="DJ348" s="107">
        <v>800</v>
      </c>
      <c r="DK348" s="107">
        <v>966</v>
      </c>
      <c r="DL348" s="115">
        <v>200000</v>
      </c>
      <c r="DM348" s="85" t="s">
        <v>6051</v>
      </c>
      <c r="DN348" s="309" t="s">
        <v>4560</v>
      </c>
      <c r="DO348" s="305" t="s">
        <v>4565</v>
      </c>
    </row>
    <row r="349" spans="1:119" ht="15.6" customHeight="1">
      <c r="A349" s="300">
        <v>344</v>
      </c>
      <c r="B349" s="348">
        <v>54</v>
      </c>
      <c r="C349" s="348">
        <v>2017</v>
      </c>
      <c r="D349" s="348" t="s">
        <v>4674</v>
      </c>
      <c r="E349" s="348" t="s">
        <v>4839</v>
      </c>
      <c r="F349" s="348">
        <v>2</v>
      </c>
      <c r="G349" s="348" t="s">
        <v>5936</v>
      </c>
      <c r="H349" s="348" t="s">
        <v>5919</v>
      </c>
      <c r="I349" s="348" t="s">
        <v>6256</v>
      </c>
      <c r="J349" s="286" t="s">
        <v>4693</v>
      </c>
      <c r="K349" s="300" t="s">
        <v>4534</v>
      </c>
      <c r="L349" s="309" t="s">
        <v>6058</v>
      </c>
      <c r="M349" s="300" t="s">
        <v>4508</v>
      </c>
      <c r="N349" s="309" t="s">
        <v>4699</v>
      </c>
      <c r="O349" s="17" t="s">
        <v>4506</v>
      </c>
      <c r="P349" s="309" t="s">
        <v>4470</v>
      </c>
      <c r="Q349" s="309" t="s">
        <v>4470</v>
      </c>
      <c r="R349" s="309" t="s">
        <v>4420</v>
      </c>
      <c r="S349" s="309" t="s">
        <v>5791</v>
      </c>
      <c r="T349" s="64" t="s">
        <v>4420</v>
      </c>
      <c r="U349" s="64" t="s">
        <v>5791</v>
      </c>
      <c r="V349" s="64" t="s">
        <v>4420</v>
      </c>
      <c r="W349" s="64" t="s">
        <v>5791</v>
      </c>
      <c r="X349" s="309" t="s">
        <v>4420</v>
      </c>
      <c r="Y349" s="309" t="s">
        <v>5791</v>
      </c>
      <c r="Z349" s="309" t="s">
        <v>4558</v>
      </c>
      <c r="AA349" s="17">
        <v>10</v>
      </c>
      <c r="AB349" s="232">
        <v>0</v>
      </c>
      <c r="AC349" s="17">
        <v>0</v>
      </c>
      <c r="AD349" s="300" t="s">
        <v>4694</v>
      </c>
      <c r="AE349" s="78">
        <v>200</v>
      </c>
      <c r="AF349" s="78">
        <v>200</v>
      </c>
      <c r="AG349" s="71">
        <v>10</v>
      </c>
      <c r="AH349" s="71">
        <v>10</v>
      </c>
      <c r="AI349" s="136">
        <v>1505</v>
      </c>
      <c r="AJ349" s="300" t="s">
        <v>4808</v>
      </c>
      <c r="AK349" s="16">
        <v>300</v>
      </c>
      <c r="AL349" s="16">
        <v>150</v>
      </c>
      <c r="AM349" s="16">
        <v>10</v>
      </c>
      <c r="AN349" s="16">
        <v>6</v>
      </c>
      <c r="AO349" s="16">
        <v>1300</v>
      </c>
      <c r="AP349" s="16">
        <f>AL349*AK349^3/12-(AL349-AN349)*(AK349-2*AM349)^3/12</f>
        <v>74076000</v>
      </c>
      <c r="AQ349" s="26">
        <v>552600</v>
      </c>
      <c r="AR349" s="16">
        <v>18</v>
      </c>
      <c r="AS349" s="16">
        <v>200</v>
      </c>
      <c r="AT349" s="16">
        <v>340</v>
      </c>
      <c r="AU349" s="16">
        <v>20</v>
      </c>
      <c r="AV349" s="16">
        <f t="shared" si="183"/>
        <v>20</v>
      </c>
      <c r="AW349" s="300" t="s">
        <v>5658</v>
      </c>
      <c r="AX349" s="309" t="s">
        <v>4695</v>
      </c>
      <c r="AY349" s="16">
        <f>442/AZ349/0.25</f>
        <v>88.4</v>
      </c>
      <c r="AZ349" s="309">
        <v>20</v>
      </c>
      <c r="BA349" s="309">
        <f t="shared" si="160"/>
        <v>245</v>
      </c>
      <c r="BB349" s="16">
        <v>65</v>
      </c>
      <c r="BC349" s="16">
        <f>BB349</f>
        <v>65</v>
      </c>
      <c r="BD349" s="16">
        <v>70</v>
      </c>
      <c r="BE349" s="16">
        <v>110</v>
      </c>
      <c r="BF349" s="16">
        <v>70</v>
      </c>
      <c r="BG349" s="22" t="s">
        <v>4420</v>
      </c>
      <c r="BH349" s="309" t="s">
        <v>4465</v>
      </c>
      <c r="BI349" s="309" t="s">
        <v>4465</v>
      </c>
      <c r="BJ349" s="309">
        <v>4</v>
      </c>
      <c r="BK349" s="309">
        <v>8</v>
      </c>
      <c r="BL349" s="301">
        <v>150</v>
      </c>
      <c r="BM349" s="310">
        <v>2060</v>
      </c>
      <c r="BN349" s="195" t="s">
        <v>5791</v>
      </c>
      <c r="BO349" s="195" t="s">
        <v>5791</v>
      </c>
      <c r="BP349" s="195" t="s">
        <v>5791</v>
      </c>
      <c r="BQ349" s="195" t="s">
        <v>5791</v>
      </c>
      <c r="BR349" s="195" t="s">
        <v>5791</v>
      </c>
      <c r="BS349" s="195" t="s">
        <v>5791</v>
      </c>
      <c r="BT349" s="300" t="s">
        <v>5855</v>
      </c>
      <c r="BU349" s="309">
        <v>7</v>
      </c>
      <c r="BV349" s="309">
        <v>1</v>
      </c>
      <c r="BW349" s="309">
        <v>19</v>
      </c>
      <c r="BX349" s="309">
        <v>90</v>
      </c>
      <c r="BY349" s="30">
        <v>150</v>
      </c>
      <c r="BZ349" s="17">
        <v>450</v>
      </c>
      <c r="CA349" s="310" t="s">
        <v>4572</v>
      </c>
      <c r="CB349" s="310" t="s">
        <v>4697</v>
      </c>
      <c r="CC349" s="21">
        <v>0</v>
      </c>
      <c r="CD349" s="21">
        <f>16*PI()*10^2/4+14*PI()*6^2/4</f>
        <v>1652.4777357882313</v>
      </c>
      <c r="CE349" s="32">
        <v>20</v>
      </c>
      <c r="CF349" s="119">
        <v>5.3E-3</v>
      </c>
      <c r="CG349" s="32" t="s">
        <v>5792</v>
      </c>
      <c r="CH349" s="59">
        <v>275</v>
      </c>
      <c r="CI349" s="21">
        <v>349.3</v>
      </c>
      <c r="CJ349" s="59">
        <v>410</v>
      </c>
      <c r="CK349" s="21">
        <v>492</v>
      </c>
      <c r="CL349" s="68">
        <v>187000</v>
      </c>
      <c r="CM349" s="32" t="s">
        <v>5792</v>
      </c>
      <c r="CN349" s="59">
        <v>275</v>
      </c>
      <c r="CO349" s="21">
        <f>(349.3+312.5)/2</f>
        <v>330.9</v>
      </c>
      <c r="CP349" s="59">
        <v>410</v>
      </c>
      <c r="CQ349" s="21">
        <f>(492+508.3)/2</f>
        <v>500.15</v>
      </c>
      <c r="CR349" s="67">
        <v>187000</v>
      </c>
      <c r="CS349" s="32" t="s">
        <v>5792</v>
      </c>
      <c r="CT349" s="59">
        <v>275</v>
      </c>
      <c r="CU349" s="21">
        <v>274.39999999999998</v>
      </c>
      <c r="CV349" s="310">
        <v>410</v>
      </c>
      <c r="CW349" s="21">
        <v>414.4</v>
      </c>
      <c r="CX349" s="68">
        <v>193000</v>
      </c>
      <c r="CY349" s="147" t="s">
        <v>5673</v>
      </c>
      <c r="CZ349" s="93">
        <v>32.229999999999997</v>
      </c>
      <c r="DA349" s="75">
        <v>2.6</v>
      </c>
      <c r="DB349" s="95">
        <v>32100</v>
      </c>
      <c r="DC349" s="94">
        <v>348.9</v>
      </c>
      <c r="DD349" s="93">
        <v>521.29999999999995</v>
      </c>
      <c r="DE349" s="95">
        <v>196000</v>
      </c>
      <c r="DF349" s="273" t="s">
        <v>5791</v>
      </c>
      <c r="DG349" s="309">
        <v>10.9</v>
      </c>
      <c r="DH349" s="309">
        <v>900</v>
      </c>
      <c r="DI349" s="309">
        <v>942</v>
      </c>
      <c r="DJ349" s="309">
        <v>1000</v>
      </c>
      <c r="DK349" s="309">
        <v>1048</v>
      </c>
      <c r="DL349" s="75">
        <v>205000</v>
      </c>
      <c r="DM349" s="28" t="s">
        <v>5832</v>
      </c>
      <c r="DN349" s="309" t="s">
        <v>4560</v>
      </c>
      <c r="DO349" s="305" t="s">
        <v>4565</v>
      </c>
    </row>
    <row r="350" spans="1:119" ht="15.6" customHeight="1" thickBot="1">
      <c r="A350" s="308">
        <v>345</v>
      </c>
      <c r="B350" s="350"/>
      <c r="C350" s="350"/>
      <c r="D350" s="350"/>
      <c r="E350" s="350"/>
      <c r="F350" s="350"/>
      <c r="G350" s="350"/>
      <c r="H350" s="350"/>
      <c r="I350" s="350"/>
      <c r="J350" s="285" t="s">
        <v>4696</v>
      </c>
      <c r="K350" s="308" t="s">
        <v>4534</v>
      </c>
      <c r="L350" s="311" t="s">
        <v>6058</v>
      </c>
      <c r="M350" s="308" t="s">
        <v>4508</v>
      </c>
      <c r="N350" s="311" t="s">
        <v>4699</v>
      </c>
      <c r="O350" s="14" t="s">
        <v>4506</v>
      </c>
      <c r="P350" s="311" t="s">
        <v>4470</v>
      </c>
      <c r="Q350" s="311" t="s">
        <v>4470</v>
      </c>
      <c r="R350" s="311" t="s">
        <v>4420</v>
      </c>
      <c r="S350" s="311" t="s">
        <v>5791</v>
      </c>
      <c r="T350" s="86" t="s">
        <v>4420</v>
      </c>
      <c r="U350" s="86" t="s">
        <v>5791</v>
      </c>
      <c r="V350" s="86" t="s">
        <v>4420</v>
      </c>
      <c r="W350" s="86" t="s">
        <v>5791</v>
      </c>
      <c r="X350" s="311" t="s">
        <v>4420</v>
      </c>
      <c r="Y350" s="311" t="s">
        <v>5791</v>
      </c>
      <c r="Z350" s="311" t="s">
        <v>4558</v>
      </c>
      <c r="AA350" s="14">
        <v>10</v>
      </c>
      <c r="AB350" s="228">
        <v>0</v>
      </c>
      <c r="AC350" s="14">
        <v>0</v>
      </c>
      <c r="AD350" s="308" t="s">
        <v>4730</v>
      </c>
      <c r="AE350" s="37">
        <v>200</v>
      </c>
      <c r="AF350" s="37">
        <v>200</v>
      </c>
      <c r="AG350" s="84">
        <v>3</v>
      </c>
      <c r="AH350" s="84">
        <v>3</v>
      </c>
      <c r="AI350" s="137">
        <v>1505</v>
      </c>
      <c r="AJ350" s="308" t="s">
        <v>4808</v>
      </c>
      <c r="AK350" s="23">
        <v>300</v>
      </c>
      <c r="AL350" s="23">
        <v>150</v>
      </c>
      <c r="AM350" s="23">
        <v>10</v>
      </c>
      <c r="AN350" s="23">
        <v>6</v>
      </c>
      <c r="AO350" s="23">
        <v>1300</v>
      </c>
      <c r="AP350" s="23">
        <f>AL350*AK350^3/12-(AL350-AN350)*(AK350-2*AM350)^3/12</f>
        <v>74076000</v>
      </c>
      <c r="AQ350" s="25">
        <v>552600</v>
      </c>
      <c r="AR350" s="23">
        <v>12</v>
      </c>
      <c r="AS350" s="23">
        <v>200</v>
      </c>
      <c r="AT350" s="23">
        <v>340</v>
      </c>
      <c r="AU350" s="23">
        <v>20</v>
      </c>
      <c r="AV350" s="23">
        <f t="shared" si="183"/>
        <v>20</v>
      </c>
      <c r="AW350" s="301" t="s">
        <v>5658</v>
      </c>
      <c r="AX350" s="310" t="s">
        <v>4695</v>
      </c>
      <c r="AY350" s="21">
        <f>442/AZ350/0.25</f>
        <v>88.4</v>
      </c>
      <c r="AZ350" s="21">
        <v>20</v>
      </c>
      <c r="BA350" s="38">
        <f t="shared" si="160"/>
        <v>245</v>
      </c>
      <c r="BB350" s="21">
        <v>65</v>
      </c>
      <c r="BC350" s="38">
        <f>BB350</f>
        <v>65</v>
      </c>
      <c r="BD350" s="21">
        <v>70</v>
      </c>
      <c r="BE350" s="21">
        <v>110</v>
      </c>
      <c r="BF350" s="21">
        <v>70</v>
      </c>
      <c r="BG350" s="15" t="s">
        <v>4420</v>
      </c>
      <c r="BH350" s="310" t="s">
        <v>4465</v>
      </c>
      <c r="BI350" s="310" t="s">
        <v>4465</v>
      </c>
      <c r="BJ350" s="310">
        <v>4</v>
      </c>
      <c r="BK350" s="310">
        <v>8</v>
      </c>
      <c r="BL350" s="301">
        <v>150</v>
      </c>
      <c r="BM350" s="310">
        <v>2060</v>
      </c>
      <c r="BN350" s="197" t="s">
        <v>5791</v>
      </c>
      <c r="BO350" s="197" t="s">
        <v>5791</v>
      </c>
      <c r="BP350" s="197" t="s">
        <v>5791</v>
      </c>
      <c r="BQ350" s="197" t="s">
        <v>5791</v>
      </c>
      <c r="BR350" s="197" t="s">
        <v>5791</v>
      </c>
      <c r="BS350" s="197" t="s">
        <v>5791</v>
      </c>
      <c r="BT350" s="308" t="s">
        <v>5855</v>
      </c>
      <c r="BU350" s="311">
        <v>7</v>
      </c>
      <c r="BV350" s="311">
        <v>1</v>
      </c>
      <c r="BW350" s="311">
        <v>19</v>
      </c>
      <c r="BX350" s="311">
        <v>90</v>
      </c>
      <c r="BY350" s="34">
        <v>150</v>
      </c>
      <c r="BZ350" s="14">
        <v>450</v>
      </c>
      <c r="CA350" s="311" t="s">
        <v>4572</v>
      </c>
      <c r="CB350" s="311" t="s">
        <v>4697</v>
      </c>
      <c r="CC350" s="21">
        <v>0</v>
      </c>
      <c r="CD350" s="21">
        <f>16*PI()*10^2/4+14*PI()*6^2/4</f>
        <v>1652.4777357882313</v>
      </c>
      <c r="CE350" s="34">
        <v>20</v>
      </c>
      <c r="CF350" s="120">
        <v>5.3E-3</v>
      </c>
      <c r="CG350" s="130" t="s">
        <v>5650</v>
      </c>
      <c r="CH350" s="311">
        <v>235</v>
      </c>
      <c r="CI350" s="23">
        <v>267.2</v>
      </c>
      <c r="CJ350" s="311">
        <v>370</v>
      </c>
      <c r="CK350" s="23">
        <v>368.3</v>
      </c>
      <c r="CL350" s="82">
        <v>186000</v>
      </c>
      <c r="CM350" s="130" t="s">
        <v>5792</v>
      </c>
      <c r="CN350" s="59">
        <v>275</v>
      </c>
      <c r="CO350" s="21">
        <f>(349.3+312.5)/2</f>
        <v>330.9</v>
      </c>
      <c r="CP350" s="59">
        <v>410</v>
      </c>
      <c r="CQ350" s="21">
        <f>(492+508.3)/2</f>
        <v>500.15</v>
      </c>
      <c r="CR350" s="67">
        <v>187001</v>
      </c>
      <c r="CS350" s="106" t="s">
        <v>5792</v>
      </c>
      <c r="CT350" s="59">
        <v>275</v>
      </c>
      <c r="CU350" s="21">
        <v>323.3</v>
      </c>
      <c r="CV350" s="310">
        <v>410</v>
      </c>
      <c r="CW350" s="21">
        <v>436.7</v>
      </c>
      <c r="CX350" s="68">
        <v>198000</v>
      </c>
      <c r="CY350" s="148" t="s">
        <v>5673</v>
      </c>
      <c r="CZ350" s="98">
        <v>32.229999999999997</v>
      </c>
      <c r="DA350" s="76">
        <v>2.6</v>
      </c>
      <c r="DB350" s="100">
        <v>32100</v>
      </c>
      <c r="DC350" s="99">
        <v>348.9</v>
      </c>
      <c r="DD350" s="98">
        <v>521.29999999999995</v>
      </c>
      <c r="DE350" s="100">
        <v>196000</v>
      </c>
      <c r="DF350" s="274" t="s">
        <v>5791</v>
      </c>
      <c r="DG350" s="311">
        <v>10.9</v>
      </c>
      <c r="DH350" s="311">
        <v>900</v>
      </c>
      <c r="DI350" s="311">
        <v>942</v>
      </c>
      <c r="DJ350" s="311">
        <v>1000</v>
      </c>
      <c r="DK350" s="311">
        <v>1048</v>
      </c>
      <c r="DL350" s="76">
        <v>205000</v>
      </c>
      <c r="DM350" s="27" t="s">
        <v>5832</v>
      </c>
      <c r="DN350" s="308" t="s">
        <v>4560</v>
      </c>
      <c r="DO350" s="307" t="s">
        <v>4565</v>
      </c>
    </row>
    <row r="351" spans="1:119" ht="15.6" customHeight="1" thickBot="1">
      <c r="A351" s="301">
        <v>346</v>
      </c>
      <c r="B351" s="295">
        <v>55</v>
      </c>
      <c r="C351" s="295">
        <v>2018</v>
      </c>
      <c r="D351" s="301" t="s">
        <v>5557</v>
      </c>
      <c r="E351" s="301" t="s">
        <v>5638</v>
      </c>
      <c r="F351" s="295">
        <v>1</v>
      </c>
      <c r="G351" s="295" t="s">
        <v>5930</v>
      </c>
      <c r="H351" s="295" t="s">
        <v>5919</v>
      </c>
      <c r="I351" s="295" t="s">
        <v>6257</v>
      </c>
      <c r="J351" s="284" t="s">
        <v>4511</v>
      </c>
      <c r="K351" s="301" t="s">
        <v>4383</v>
      </c>
      <c r="L351" s="310" t="s">
        <v>5791</v>
      </c>
      <c r="M351" s="301" t="s">
        <v>4507</v>
      </c>
      <c r="N351" s="310" t="s">
        <v>4701</v>
      </c>
      <c r="O351" s="18" t="s">
        <v>4505</v>
      </c>
      <c r="P351" s="310" t="s">
        <v>4420</v>
      </c>
      <c r="Q351" s="310" t="s">
        <v>4420</v>
      </c>
      <c r="R351" s="310" t="s">
        <v>4420</v>
      </c>
      <c r="S351" s="310" t="s">
        <v>5791</v>
      </c>
      <c r="T351" s="59" t="s">
        <v>4420</v>
      </c>
      <c r="U351" s="59" t="s">
        <v>5791</v>
      </c>
      <c r="V351" s="59" t="s">
        <v>4420</v>
      </c>
      <c r="W351" s="59" t="s">
        <v>5791</v>
      </c>
      <c r="X351" s="310" t="s">
        <v>4420</v>
      </c>
      <c r="Y351" s="310" t="s">
        <v>5791</v>
      </c>
      <c r="Z351" s="310" t="s">
        <v>4558</v>
      </c>
      <c r="AA351" s="18">
        <v>6</v>
      </c>
      <c r="AB351" s="223">
        <v>0</v>
      </c>
      <c r="AC351" s="18">
        <v>0</v>
      </c>
      <c r="AD351" s="301" t="s">
        <v>5558</v>
      </c>
      <c r="AE351" s="21">
        <f>INDEX('[2]Cross-Section Database'!$C$2:$V$3928,MATCH(AD351,'[2]Cross-Section Database'!$B$2:$B$3928,0),3)</f>
        <v>244</v>
      </c>
      <c r="AF351" s="21">
        <f>INDEX('[2]Cross-Section Database'!$C$2:$V$3928,MATCH(AD351,'[2]Cross-Section Database'!$B$2:$B$3928,0),4)</f>
        <v>175</v>
      </c>
      <c r="AG351" s="21">
        <f>INDEX('[2]Cross-Section Database'!$C$2:$V$3928,MATCH(AD351,'[2]Cross-Section Database'!$B$2:$B$3928,0),6)</f>
        <v>11</v>
      </c>
      <c r="AH351" s="21">
        <f>INDEX('[2]Cross-Section Database'!$C$2:$V$3928,MATCH(AD351,'[2]Cross-Section Database'!$B$2:$B$3928,0),5)</f>
        <v>7</v>
      </c>
      <c r="AI351" s="145">
        <v>2000</v>
      </c>
      <c r="AJ351" s="301" t="s">
        <v>5579</v>
      </c>
      <c r="AK351" s="109">
        <f>INDEX('[2]Cross-Section Database'!$C$2:$V$3928,MATCH(AJ351,'[2]Cross-Section Database'!$B$2:$B$3928,0),3)</f>
        <v>194</v>
      </c>
      <c r="AL351" s="109">
        <f>INDEX('[2]Cross-Section Database'!$C$2:$V$3928,MATCH(AJ351,'[2]Cross-Section Database'!$B$2:$B$3928,0),4)</f>
        <v>150</v>
      </c>
      <c r="AM351" s="109">
        <f>INDEX('[2]Cross-Section Database'!$C$2:$V$3928,MATCH(AJ351,'[2]Cross-Section Database'!$B$2:$B$3928,0),6)</f>
        <v>9</v>
      </c>
      <c r="AN351" s="109">
        <f>INDEX('[2]Cross-Section Database'!$C$2:$V$3928,MATCH(AJ351,'[2]Cross-Section Database'!$B$2:$B$3928,0),5)</f>
        <v>6</v>
      </c>
      <c r="AO351" s="109">
        <v>1000</v>
      </c>
      <c r="AP351" s="21">
        <f>INDEX('[2]Cross-Section Database'!$C$2:$V$3928,MATCH(AJ351,'[2]Cross-Section Database'!$B$2:$B$3928,0),11)</f>
        <v>25845988</v>
      </c>
      <c r="AQ351" s="26">
        <f>AL351*AK351^2/4-(AL351-AN351)*(AK351-2*AM351)^2/4</f>
        <v>296214</v>
      </c>
      <c r="AR351" s="21">
        <v>16</v>
      </c>
      <c r="AS351" s="21">
        <v>150</v>
      </c>
      <c r="AT351" s="21">
        <v>194</v>
      </c>
      <c r="AU351" s="21">
        <v>0</v>
      </c>
      <c r="AV351" s="21">
        <v>0</v>
      </c>
      <c r="AW351" s="9" t="s">
        <v>5806</v>
      </c>
      <c r="AX351" s="107" t="s">
        <v>6129</v>
      </c>
      <c r="AY351" s="109" t="s">
        <v>6129</v>
      </c>
      <c r="AZ351" s="109">
        <v>20</v>
      </c>
      <c r="BA351" s="124">
        <f t="shared" si="160"/>
        <v>245</v>
      </c>
      <c r="BB351" s="109">
        <v>51</v>
      </c>
      <c r="BC351" s="124">
        <f>BB351</f>
        <v>51</v>
      </c>
      <c r="BD351" s="109">
        <v>0</v>
      </c>
      <c r="BE351" s="109">
        <v>78</v>
      </c>
      <c r="BF351" s="109">
        <v>92</v>
      </c>
      <c r="BG351" s="111" t="s">
        <v>4470</v>
      </c>
      <c r="BH351" s="107" t="s">
        <v>6204</v>
      </c>
      <c r="BI351" s="107" t="s">
        <v>6204</v>
      </c>
      <c r="BJ351" s="107">
        <v>2</v>
      </c>
      <c r="BK351" s="108">
        <v>4</v>
      </c>
      <c r="BL351" s="194" t="s">
        <v>5791</v>
      </c>
      <c r="BM351" s="195" t="s">
        <v>5791</v>
      </c>
      <c r="BN351" s="195" t="s">
        <v>5791</v>
      </c>
      <c r="BO351" s="195" t="s">
        <v>5791</v>
      </c>
      <c r="BP351" s="195" t="s">
        <v>5791</v>
      </c>
      <c r="BQ351" s="195" t="s">
        <v>5791</v>
      </c>
      <c r="BR351" s="195" t="s">
        <v>5791</v>
      </c>
      <c r="BS351" s="195" t="s">
        <v>5791</v>
      </c>
      <c r="BT351" s="194" t="s">
        <v>5791</v>
      </c>
      <c r="BU351" s="195" t="s">
        <v>5791</v>
      </c>
      <c r="BV351" s="195" t="s">
        <v>5791</v>
      </c>
      <c r="BW351" s="195" t="s">
        <v>5791</v>
      </c>
      <c r="BX351" s="195" t="s">
        <v>5791</v>
      </c>
      <c r="BY351" s="195" t="s">
        <v>5791</v>
      </c>
      <c r="BZ351" s="213" t="s">
        <v>5791</v>
      </c>
      <c r="CA351" s="195" t="s">
        <v>5791</v>
      </c>
      <c r="CB351" s="195" t="s">
        <v>5791</v>
      </c>
      <c r="CC351" s="195" t="s">
        <v>5791</v>
      </c>
      <c r="CD351" s="195" t="s">
        <v>5791</v>
      </c>
      <c r="CE351" s="195" t="s">
        <v>5791</v>
      </c>
      <c r="CF351" s="213" t="s">
        <v>5791</v>
      </c>
      <c r="CG351" s="130" t="s">
        <v>5650</v>
      </c>
      <c r="CH351" s="311">
        <v>235</v>
      </c>
      <c r="CI351" s="21">
        <v>262.39999999999998</v>
      </c>
      <c r="CJ351" s="311">
        <v>370</v>
      </c>
      <c r="CK351" s="21">
        <v>435.3</v>
      </c>
      <c r="CL351" s="68">
        <v>196000</v>
      </c>
      <c r="CM351" s="130" t="s">
        <v>5650</v>
      </c>
      <c r="CN351" s="154">
        <v>235</v>
      </c>
      <c r="CO351" s="109">
        <v>263.5</v>
      </c>
      <c r="CP351" s="154">
        <v>370</v>
      </c>
      <c r="CQ351" s="109">
        <v>466.9</v>
      </c>
      <c r="CR351" s="186">
        <v>204800</v>
      </c>
      <c r="CS351" s="135" t="s">
        <v>5650</v>
      </c>
      <c r="CT351" s="107">
        <v>235</v>
      </c>
      <c r="CU351" s="109">
        <v>253.1</v>
      </c>
      <c r="CV351" s="107">
        <v>370</v>
      </c>
      <c r="CW351" s="109">
        <v>396.6</v>
      </c>
      <c r="CX351" s="219">
        <v>210000</v>
      </c>
      <c r="CY351" s="198" t="s">
        <v>5791</v>
      </c>
      <c r="CZ351" s="199" t="s">
        <v>5791</v>
      </c>
      <c r="DA351" s="199" t="s">
        <v>5791</v>
      </c>
      <c r="DB351" s="200" t="s">
        <v>5791</v>
      </c>
      <c r="DC351" s="198" t="s">
        <v>5791</v>
      </c>
      <c r="DD351" s="199" t="s">
        <v>5791</v>
      </c>
      <c r="DE351" s="200" t="s">
        <v>5791</v>
      </c>
      <c r="DF351" s="273" t="s">
        <v>5791</v>
      </c>
      <c r="DG351" s="310">
        <v>10.9</v>
      </c>
      <c r="DH351" s="309">
        <v>900</v>
      </c>
      <c r="DI351" s="30">
        <v>990</v>
      </c>
      <c r="DJ351" s="309">
        <v>1000</v>
      </c>
      <c r="DK351" s="30">
        <v>1100</v>
      </c>
      <c r="DL351" s="75">
        <v>200000</v>
      </c>
      <c r="DM351" s="29" t="s">
        <v>5833</v>
      </c>
      <c r="DN351" s="310" t="s">
        <v>4560</v>
      </c>
      <c r="DO351" s="306" t="s">
        <v>4565</v>
      </c>
    </row>
    <row r="352" spans="1:119" ht="15.6" customHeight="1">
      <c r="A352" s="302">
        <v>347</v>
      </c>
      <c r="B352" s="348">
        <v>56</v>
      </c>
      <c r="C352" s="348">
        <v>2018</v>
      </c>
      <c r="D352" s="357" t="s">
        <v>4680</v>
      </c>
      <c r="E352" s="359" t="s">
        <v>6258</v>
      </c>
      <c r="F352" s="348">
        <v>4</v>
      </c>
      <c r="G352" s="348" t="s">
        <v>5934</v>
      </c>
      <c r="H352" s="348" t="s">
        <v>5933</v>
      </c>
      <c r="I352" s="348" t="s">
        <v>6259</v>
      </c>
      <c r="J352" s="284" t="s">
        <v>6260</v>
      </c>
      <c r="K352" s="302" t="s">
        <v>4383</v>
      </c>
      <c r="L352" s="309" t="s">
        <v>5791</v>
      </c>
      <c r="M352" s="300" t="s">
        <v>4508</v>
      </c>
      <c r="N352" s="309" t="s">
        <v>4702</v>
      </c>
      <c r="O352" s="17" t="s">
        <v>4506</v>
      </c>
      <c r="P352" s="309" t="s">
        <v>4420</v>
      </c>
      <c r="Q352" s="309" t="s">
        <v>4420</v>
      </c>
      <c r="R352" s="309" t="s">
        <v>4420</v>
      </c>
      <c r="S352" s="309" t="s">
        <v>5791</v>
      </c>
      <c r="T352" s="64" t="s">
        <v>4420</v>
      </c>
      <c r="U352" s="64" t="s">
        <v>5791</v>
      </c>
      <c r="V352" s="64" t="s">
        <v>4420</v>
      </c>
      <c r="W352" s="64" t="s">
        <v>5791</v>
      </c>
      <c r="X352" s="309" t="s">
        <v>4420</v>
      </c>
      <c r="Y352" s="309" t="s">
        <v>5791</v>
      </c>
      <c r="Z352" s="309" t="s">
        <v>4558</v>
      </c>
      <c r="AA352" s="17">
        <v>10</v>
      </c>
      <c r="AB352" s="232">
        <v>0</v>
      </c>
      <c r="AC352" s="17">
        <v>924</v>
      </c>
      <c r="AD352" s="309" t="s">
        <v>5491</v>
      </c>
      <c r="AE352" s="16">
        <f>INDEX('[2]Cross-Section Database'!$C$2:$V$2928,MATCH(AD352,'[2]Cross-Section Database'!$B$2:$B$2928,0),3)</f>
        <v>200</v>
      </c>
      <c r="AF352" s="16">
        <f>INDEX('[2]Cross-Section Database'!$C$2:$V$2928,MATCH(AD352,'[2]Cross-Section Database'!$B$2:$B$2928,0),4)</f>
        <v>200</v>
      </c>
      <c r="AG352" s="16">
        <f>INDEX('[2]Cross-Section Database'!$C$2:$V$2928,MATCH(AD352,'[2]Cross-Section Database'!$B$2:$B$2928,0),6)</f>
        <v>8.8000000000000007</v>
      </c>
      <c r="AH352" s="16">
        <f>INDEX('[2]Cross-Section Database'!$C$2:$V$2928,MATCH(AD352,'[2]Cross-Section Database'!$B$2:$B$2928,0),5)</f>
        <v>8.8000000000000007</v>
      </c>
      <c r="AI352" s="31">
        <v>2600</v>
      </c>
      <c r="AJ352" s="300" t="s">
        <v>4226</v>
      </c>
      <c r="AK352" s="16">
        <f>INDEX('[2]Cross-Section Database'!$C$2:$V$2928,MATCH(AJ352,'[2]Cross-Section Database'!$B$2:$B$2928,0),3)</f>
        <v>398</v>
      </c>
      <c r="AL352" s="16">
        <f>INDEX('[2]Cross-Section Database'!$C$2:$V$2928,MATCH(AJ352,'[2]Cross-Section Database'!$B$2:$B$2928,0),4)</f>
        <v>141.80000000000001</v>
      </c>
      <c r="AM352" s="16">
        <f>INDEX('[2]Cross-Section Database'!$C$2:$V$2928,MATCH(AJ352,'[2]Cross-Section Database'!$B$2:$B$2928,0),6)</f>
        <v>8.6</v>
      </c>
      <c r="AN352" s="16">
        <f>INDEX('[2]Cross-Section Database'!$C$2:$V$2928,MATCH(AJ352,'[2]Cross-Section Database'!$B$2:$B$2928,0),5)</f>
        <v>6.4</v>
      </c>
      <c r="AO352" s="16">
        <v>1300</v>
      </c>
      <c r="AP352" s="16">
        <f>INDEX('[2]Cross-Section Database'!$C$2:$V$3928,MATCH(AJ352,'[2]Cross-Section Database'!$B$2:$B$3928,0),11)</f>
        <v>125100000</v>
      </c>
      <c r="AQ352" s="26">
        <f>INDEX('[2]Cross-Section Database'!$C$2:$V$3928,MATCH(AJ352,'[2]Cross-Section Database'!$B$2:$B$3928,0),12)</f>
        <v>723700</v>
      </c>
      <c r="AR352" s="44">
        <v>12</v>
      </c>
      <c r="AS352" s="44">
        <v>200</v>
      </c>
      <c r="AT352" s="44">
        <v>447.2</v>
      </c>
      <c r="AU352" s="44">
        <v>25</v>
      </c>
      <c r="AV352" s="44">
        <v>25</v>
      </c>
      <c r="AW352" s="300" t="s">
        <v>6261</v>
      </c>
      <c r="AX352" s="309" t="s">
        <v>6262</v>
      </c>
      <c r="AY352" s="16">
        <f>65/AZ352/0.25</f>
        <v>13</v>
      </c>
      <c r="AZ352" s="309">
        <v>20</v>
      </c>
      <c r="BA352" s="309">
        <f t="shared" si="160"/>
        <v>245</v>
      </c>
      <c r="BB352" s="44">
        <v>85</v>
      </c>
      <c r="BC352" s="44">
        <v>85</v>
      </c>
      <c r="BD352" s="44">
        <v>0</v>
      </c>
      <c r="BE352" s="44">
        <v>90</v>
      </c>
      <c r="BF352" s="44">
        <v>277.2</v>
      </c>
      <c r="BG352" s="239" t="s">
        <v>4470</v>
      </c>
      <c r="BH352" s="309" t="s">
        <v>6204</v>
      </c>
      <c r="BI352" s="309" t="s">
        <v>6204</v>
      </c>
      <c r="BJ352" s="309">
        <v>2</v>
      </c>
      <c r="BK352" s="17">
        <v>4</v>
      </c>
      <c r="BL352" s="194" t="s">
        <v>5791</v>
      </c>
      <c r="BM352" s="195" t="s">
        <v>5791</v>
      </c>
      <c r="BN352" s="195" t="s">
        <v>5791</v>
      </c>
      <c r="BO352" s="195" t="s">
        <v>5791</v>
      </c>
      <c r="BP352" s="195" t="s">
        <v>5791</v>
      </c>
      <c r="BQ352" s="195" t="s">
        <v>5791</v>
      </c>
      <c r="BR352" s="195" t="s">
        <v>5791</v>
      </c>
      <c r="BS352" s="195" t="s">
        <v>5791</v>
      </c>
      <c r="BT352" s="194" t="s">
        <v>5791</v>
      </c>
      <c r="BU352" s="195" t="s">
        <v>5791</v>
      </c>
      <c r="BV352" s="195" t="s">
        <v>5791</v>
      </c>
      <c r="BW352" s="195" t="s">
        <v>5791</v>
      </c>
      <c r="BX352" s="195" t="s">
        <v>5791</v>
      </c>
      <c r="BY352" s="195" t="s">
        <v>5791</v>
      </c>
      <c r="BZ352" s="213" t="s">
        <v>5791</v>
      </c>
      <c r="CA352" s="194" t="s">
        <v>5791</v>
      </c>
      <c r="CB352" s="195" t="s">
        <v>5791</v>
      </c>
      <c r="CC352" s="195" t="s">
        <v>5791</v>
      </c>
      <c r="CD352" s="195" t="s">
        <v>5791</v>
      </c>
      <c r="CE352" s="195" t="s">
        <v>5791</v>
      </c>
      <c r="CF352" s="213" t="s">
        <v>5791</v>
      </c>
      <c r="CG352" s="309" t="s">
        <v>4450</v>
      </c>
      <c r="CH352" s="309">
        <v>275</v>
      </c>
      <c r="CI352" s="16">
        <v>357</v>
      </c>
      <c r="CJ352" s="16">
        <v>410</v>
      </c>
      <c r="CK352" s="16">
        <v>445</v>
      </c>
      <c r="CL352" s="80">
        <v>210000</v>
      </c>
      <c r="CM352" s="309" t="s">
        <v>4450</v>
      </c>
      <c r="CN352" s="309">
        <v>275</v>
      </c>
      <c r="CO352" s="16">
        <v>345</v>
      </c>
      <c r="CP352" s="16">
        <v>410</v>
      </c>
      <c r="CQ352" s="16">
        <v>472</v>
      </c>
      <c r="CR352" s="80">
        <v>210000</v>
      </c>
      <c r="CS352" s="309" t="s">
        <v>4450</v>
      </c>
      <c r="CT352" s="309">
        <v>275</v>
      </c>
      <c r="CU352" s="16">
        <v>325</v>
      </c>
      <c r="CV352" s="16">
        <v>410</v>
      </c>
      <c r="CW352" s="16">
        <v>451</v>
      </c>
      <c r="CX352" s="80">
        <v>210000</v>
      </c>
      <c r="CY352" s="198" t="s">
        <v>5791</v>
      </c>
      <c r="CZ352" s="199" t="s">
        <v>5791</v>
      </c>
      <c r="DA352" s="199" t="s">
        <v>5791</v>
      </c>
      <c r="DB352" s="200" t="s">
        <v>5791</v>
      </c>
      <c r="DC352" s="198" t="s">
        <v>5791</v>
      </c>
      <c r="DD352" s="199" t="s">
        <v>5791</v>
      </c>
      <c r="DE352" s="200" t="s">
        <v>5791</v>
      </c>
      <c r="DF352" s="273" t="s">
        <v>5791</v>
      </c>
      <c r="DG352" s="309">
        <v>10.9</v>
      </c>
      <c r="DH352" s="309">
        <v>900</v>
      </c>
      <c r="DI352" s="30">
        <v>990</v>
      </c>
      <c r="DJ352" s="309">
        <v>1000</v>
      </c>
      <c r="DK352" s="30">
        <v>1100</v>
      </c>
      <c r="DL352" s="75">
        <v>200000</v>
      </c>
      <c r="DM352" s="28" t="s">
        <v>6263</v>
      </c>
      <c r="DN352" s="309" t="s">
        <v>4435</v>
      </c>
      <c r="DO352" s="305" t="s">
        <v>4565</v>
      </c>
    </row>
    <row r="353" spans="1:119" ht="15.6" customHeight="1">
      <c r="A353" s="303">
        <v>348</v>
      </c>
      <c r="B353" s="349"/>
      <c r="C353" s="349"/>
      <c r="D353" s="358"/>
      <c r="E353" s="360"/>
      <c r="F353" s="349"/>
      <c r="G353" s="349"/>
      <c r="H353" s="349"/>
      <c r="I353" s="349"/>
      <c r="J353" s="286" t="s">
        <v>6264</v>
      </c>
      <c r="K353" s="303" t="s">
        <v>4383</v>
      </c>
      <c r="L353" s="310" t="s">
        <v>5791</v>
      </c>
      <c r="M353" s="301" t="s">
        <v>4508</v>
      </c>
      <c r="N353" s="310" t="s">
        <v>4702</v>
      </c>
      <c r="O353" s="18" t="s">
        <v>4506</v>
      </c>
      <c r="P353" s="310" t="s">
        <v>4420</v>
      </c>
      <c r="Q353" s="310" t="s">
        <v>4420</v>
      </c>
      <c r="R353" s="310" t="s">
        <v>4420</v>
      </c>
      <c r="S353" s="310" t="s">
        <v>5791</v>
      </c>
      <c r="T353" s="59" t="s">
        <v>4420</v>
      </c>
      <c r="U353" s="59" t="s">
        <v>5791</v>
      </c>
      <c r="V353" s="59" t="s">
        <v>4420</v>
      </c>
      <c r="W353" s="59" t="s">
        <v>5791</v>
      </c>
      <c r="X353" s="310" t="s">
        <v>4420</v>
      </c>
      <c r="Y353" s="310" t="s">
        <v>5791</v>
      </c>
      <c r="Z353" s="310" t="s">
        <v>4558</v>
      </c>
      <c r="AA353" s="18">
        <v>10</v>
      </c>
      <c r="AB353" s="223">
        <v>0</v>
      </c>
      <c r="AC353" s="18">
        <v>924</v>
      </c>
      <c r="AD353" s="310" t="s">
        <v>5491</v>
      </c>
      <c r="AE353" s="21">
        <f>INDEX('[2]Cross-Section Database'!$C$2:$V$2928,MATCH(AD353,'[2]Cross-Section Database'!$B$2:$B$2928,0),3)</f>
        <v>200</v>
      </c>
      <c r="AF353" s="21">
        <f>INDEX('[2]Cross-Section Database'!$C$2:$V$2928,MATCH(AD353,'[2]Cross-Section Database'!$B$2:$B$2928,0),4)</f>
        <v>200</v>
      </c>
      <c r="AG353" s="21">
        <f>INDEX('[2]Cross-Section Database'!$C$2:$V$2928,MATCH(AD353,'[2]Cross-Section Database'!$B$2:$B$2928,0),6)</f>
        <v>8.8000000000000007</v>
      </c>
      <c r="AH353" s="21">
        <f>INDEX('[2]Cross-Section Database'!$C$2:$V$2928,MATCH(AD353,'[2]Cross-Section Database'!$B$2:$B$2928,0),5)</f>
        <v>8.8000000000000007</v>
      </c>
      <c r="AI353" s="33">
        <v>2600</v>
      </c>
      <c r="AJ353" s="301" t="s">
        <v>4248</v>
      </c>
      <c r="AK353" s="21">
        <f>INDEX('[2]Cross-Section Database'!$C$2:$V$2928,MATCH(AJ353,'[2]Cross-Section Database'!$B$2:$B$2928,0),3)</f>
        <v>528.29999999999995</v>
      </c>
      <c r="AL353" s="21">
        <f>INDEX('[2]Cross-Section Database'!$C$2:$V$2928,MATCH(AJ353,'[2]Cross-Section Database'!$B$2:$B$2928,0),4)</f>
        <v>208.8</v>
      </c>
      <c r="AM353" s="21">
        <f>INDEX('[2]Cross-Section Database'!$C$2:$V$2928,MATCH(AJ353,'[2]Cross-Section Database'!$B$2:$B$2928,0),6)</f>
        <v>13.2</v>
      </c>
      <c r="AN353" s="21">
        <f>INDEX('[2]Cross-Section Database'!$C$2:$V$2928,MATCH(AJ353,'[2]Cross-Section Database'!$B$2:$B$2928,0),5)</f>
        <v>9.6</v>
      </c>
      <c r="AO353" s="21">
        <v>1300</v>
      </c>
      <c r="AP353" s="21">
        <f>INDEX('[2]Cross-Section Database'!$C$2:$V$3928,MATCH(AJ353,'[2]Cross-Section Database'!$B$2:$B$3928,0),11)</f>
        <v>475400000</v>
      </c>
      <c r="AQ353" s="24">
        <f>INDEX('[2]Cross-Section Database'!$C$2:$V$3928,MATCH(AJ353,'[2]Cross-Section Database'!$B$2:$B$3928,0),12)</f>
        <v>2059000</v>
      </c>
      <c r="AR353" s="45">
        <v>15</v>
      </c>
      <c r="AS353" s="45">
        <v>250</v>
      </c>
      <c r="AT353" s="45">
        <v>578.29999999999995</v>
      </c>
      <c r="AU353" s="45">
        <v>25</v>
      </c>
      <c r="AV353" s="45">
        <v>25</v>
      </c>
      <c r="AW353" s="298" t="s">
        <v>6261</v>
      </c>
      <c r="AX353" s="310" t="s">
        <v>6265</v>
      </c>
      <c r="AY353" s="21">
        <f>75/AZ353/0.25</f>
        <v>12.5</v>
      </c>
      <c r="AZ353" s="310">
        <v>24</v>
      </c>
      <c r="BA353" s="310">
        <f t="shared" si="160"/>
        <v>353</v>
      </c>
      <c r="BB353" s="21">
        <v>85</v>
      </c>
      <c r="BC353" s="21">
        <v>85</v>
      </c>
      <c r="BD353" s="45">
        <v>0</v>
      </c>
      <c r="BE353" s="45">
        <v>90</v>
      </c>
      <c r="BF353" s="45">
        <v>408.3</v>
      </c>
      <c r="BG353" s="233" t="s">
        <v>4470</v>
      </c>
      <c r="BH353" s="310" t="s">
        <v>6204</v>
      </c>
      <c r="BI353" s="310" t="s">
        <v>6204</v>
      </c>
      <c r="BJ353" s="310">
        <v>2</v>
      </c>
      <c r="BK353" s="18">
        <v>4</v>
      </c>
      <c r="BL353" s="196" t="s">
        <v>5791</v>
      </c>
      <c r="BM353" s="197" t="s">
        <v>5791</v>
      </c>
      <c r="BN353" s="197" t="s">
        <v>5791</v>
      </c>
      <c r="BO353" s="197" t="s">
        <v>5791</v>
      </c>
      <c r="BP353" s="197" t="s">
        <v>5791</v>
      </c>
      <c r="BQ353" s="197" t="s">
        <v>5791</v>
      </c>
      <c r="BR353" s="197" t="s">
        <v>5791</v>
      </c>
      <c r="BS353" s="197" t="s">
        <v>5791</v>
      </c>
      <c r="BT353" s="196" t="s">
        <v>5791</v>
      </c>
      <c r="BU353" s="197" t="s">
        <v>5791</v>
      </c>
      <c r="BV353" s="197" t="s">
        <v>5791</v>
      </c>
      <c r="BW353" s="197" t="s">
        <v>5791</v>
      </c>
      <c r="BX353" s="197" t="s">
        <v>5791</v>
      </c>
      <c r="BY353" s="197" t="s">
        <v>5791</v>
      </c>
      <c r="BZ353" s="212" t="s">
        <v>5791</v>
      </c>
      <c r="CA353" s="196" t="s">
        <v>5791</v>
      </c>
      <c r="CB353" s="197" t="s">
        <v>5791</v>
      </c>
      <c r="CC353" s="197" t="s">
        <v>5791</v>
      </c>
      <c r="CD353" s="197" t="s">
        <v>5791</v>
      </c>
      <c r="CE353" s="197" t="s">
        <v>5791</v>
      </c>
      <c r="CF353" s="212" t="s">
        <v>5791</v>
      </c>
      <c r="CG353" s="310" t="s">
        <v>4450</v>
      </c>
      <c r="CH353" s="310">
        <v>275</v>
      </c>
      <c r="CI353" s="21">
        <v>357</v>
      </c>
      <c r="CJ353" s="21">
        <v>410</v>
      </c>
      <c r="CK353" s="21">
        <v>445</v>
      </c>
      <c r="CL353" s="68">
        <v>210000</v>
      </c>
      <c r="CM353" s="310" t="s">
        <v>4450</v>
      </c>
      <c r="CN353" s="310">
        <v>275</v>
      </c>
      <c r="CO353" s="21">
        <v>307</v>
      </c>
      <c r="CP353" s="21">
        <v>410</v>
      </c>
      <c r="CQ353" s="21">
        <v>462</v>
      </c>
      <c r="CR353" s="68">
        <v>210000</v>
      </c>
      <c r="CS353" s="310" t="s">
        <v>4450</v>
      </c>
      <c r="CT353" s="310">
        <v>275</v>
      </c>
      <c r="CU353" s="21">
        <v>325</v>
      </c>
      <c r="CV353" s="21">
        <v>410</v>
      </c>
      <c r="CW353" s="21">
        <v>451</v>
      </c>
      <c r="CX353" s="68">
        <v>210000</v>
      </c>
      <c r="CY353" s="201" t="s">
        <v>5791</v>
      </c>
      <c r="CZ353" s="202" t="s">
        <v>5791</v>
      </c>
      <c r="DA353" s="202" t="s">
        <v>5791</v>
      </c>
      <c r="DB353" s="203" t="s">
        <v>5791</v>
      </c>
      <c r="DC353" s="201" t="s">
        <v>5791</v>
      </c>
      <c r="DD353" s="202" t="s">
        <v>5791</v>
      </c>
      <c r="DE353" s="203" t="s">
        <v>5791</v>
      </c>
      <c r="DF353" s="274" t="s">
        <v>5791</v>
      </c>
      <c r="DG353" s="310">
        <v>10.9</v>
      </c>
      <c r="DH353" s="310">
        <v>900</v>
      </c>
      <c r="DI353" s="32">
        <v>990</v>
      </c>
      <c r="DJ353" s="310">
        <v>1000</v>
      </c>
      <c r="DK353" s="32">
        <v>1100</v>
      </c>
      <c r="DL353" s="60">
        <v>200000</v>
      </c>
      <c r="DM353" s="29" t="s">
        <v>6263</v>
      </c>
      <c r="DN353" s="310" t="s">
        <v>4435</v>
      </c>
      <c r="DO353" s="306" t="s">
        <v>4565</v>
      </c>
    </row>
    <row r="354" spans="1:119">
      <c r="A354" s="303">
        <v>349</v>
      </c>
      <c r="B354" s="349"/>
      <c r="C354" s="349"/>
      <c r="D354" s="358"/>
      <c r="E354" s="360"/>
      <c r="F354" s="349"/>
      <c r="G354" s="349"/>
      <c r="H354" s="349"/>
      <c r="I354" s="349"/>
      <c r="J354" s="286" t="s">
        <v>6266</v>
      </c>
      <c r="K354" s="303" t="s">
        <v>4383</v>
      </c>
      <c r="L354" s="310" t="s">
        <v>5791</v>
      </c>
      <c r="M354" s="301" t="s">
        <v>4508</v>
      </c>
      <c r="N354" s="310" t="s">
        <v>4702</v>
      </c>
      <c r="O354" s="18" t="s">
        <v>4506</v>
      </c>
      <c r="P354" s="310" t="s">
        <v>4420</v>
      </c>
      <c r="Q354" s="310" t="s">
        <v>4420</v>
      </c>
      <c r="R354" s="310" t="s">
        <v>4420</v>
      </c>
      <c r="S354" s="310" t="s">
        <v>5791</v>
      </c>
      <c r="T354" s="59" t="s">
        <v>4420</v>
      </c>
      <c r="U354" s="59" t="s">
        <v>5791</v>
      </c>
      <c r="V354" s="59" t="s">
        <v>4420</v>
      </c>
      <c r="W354" s="59" t="s">
        <v>5791</v>
      </c>
      <c r="X354" s="310" t="s">
        <v>4420</v>
      </c>
      <c r="Y354" s="310" t="s">
        <v>5791</v>
      </c>
      <c r="Z354" s="310" t="s">
        <v>4558</v>
      </c>
      <c r="AA354" s="18">
        <v>10</v>
      </c>
      <c r="AB354" s="223">
        <v>0</v>
      </c>
      <c r="AC354" s="18">
        <v>924</v>
      </c>
      <c r="AD354" s="310" t="s">
        <v>5491</v>
      </c>
      <c r="AE354" s="21">
        <f>INDEX('[2]Cross-Section Database'!$C$2:$V$2928,MATCH(AD354,'[2]Cross-Section Database'!$B$2:$B$2928,0),3)</f>
        <v>200</v>
      </c>
      <c r="AF354" s="21">
        <f>INDEX('[2]Cross-Section Database'!$C$2:$V$2928,MATCH(AD354,'[2]Cross-Section Database'!$B$2:$B$2928,0),4)</f>
        <v>200</v>
      </c>
      <c r="AG354" s="21">
        <f>INDEX('[2]Cross-Section Database'!$C$2:$V$2928,MATCH(AD354,'[2]Cross-Section Database'!$B$2:$B$2928,0),6)</f>
        <v>8.8000000000000007</v>
      </c>
      <c r="AH354" s="21">
        <f>INDEX('[2]Cross-Section Database'!$C$2:$V$2928,MATCH(AD354,'[2]Cross-Section Database'!$B$2:$B$2928,0),5)</f>
        <v>8.8000000000000007</v>
      </c>
      <c r="AI354" s="33">
        <v>2600</v>
      </c>
      <c r="AJ354" s="301" t="s">
        <v>4234</v>
      </c>
      <c r="AK354" s="21">
        <f>INDEX('[2]Cross-Section Database'!$C$2:$V$2928,MATCH(AJ354,'[2]Cross-Section Database'!$B$2:$B$2928,0),3)</f>
        <v>449.8</v>
      </c>
      <c r="AL354" s="21">
        <f>INDEX('[2]Cross-Section Database'!$C$2:$V$2928,MATCH(AJ354,'[2]Cross-Section Database'!$B$2:$B$2928,0),4)</f>
        <v>152.4</v>
      </c>
      <c r="AM354" s="21">
        <f>INDEX('[2]Cross-Section Database'!$C$2:$V$2928,MATCH(AJ354,'[2]Cross-Section Database'!$B$2:$B$2928,0),6)</f>
        <v>10.9</v>
      </c>
      <c r="AN354" s="21">
        <f>INDEX('[2]Cross-Section Database'!$C$2:$V$2928,MATCH(AJ354,'[2]Cross-Section Database'!$B$2:$B$2928,0),5)</f>
        <v>7.6</v>
      </c>
      <c r="AO354" s="21">
        <v>1300</v>
      </c>
      <c r="AP354" s="21">
        <f>INDEX('[2]Cross-Section Database'!$C$2:$V$3928,MATCH(AJ354,'[2]Cross-Section Database'!$B$2:$B$3928,0),11)</f>
        <v>213700000</v>
      </c>
      <c r="AQ354" s="24">
        <f>INDEX('[2]Cross-Section Database'!$C$2:$V$3928,MATCH(AJ354,'[2]Cross-Section Database'!$B$2:$B$3928,0),12)</f>
        <v>1096000</v>
      </c>
      <c r="AR354" s="45">
        <v>12</v>
      </c>
      <c r="AS354" s="45">
        <v>200</v>
      </c>
      <c r="AT354" s="45">
        <v>499.9</v>
      </c>
      <c r="AU354" s="45">
        <v>25</v>
      </c>
      <c r="AV354" s="45">
        <v>25</v>
      </c>
      <c r="AW354" s="298" t="s">
        <v>6261</v>
      </c>
      <c r="AX354" s="310" t="s">
        <v>6262</v>
      </c>
      <c r="AY354" s="21">
        <f t="shared" ref="AY354" si="185">65/AZ354/0.25</f>
        <v>13</v>
      </c>
      <c r="AZ354" s="310">
        <v>20</v>
      </c>
      <c r="BA354" s="310">
        <f t="shared" si="160"/>
        <v>245</v>
      </c>
      <c r="BB354" s="21">
        <v>85</v>
      </c>
      <c r="BC354" s="21">
        <v>85</v>
      </c>
      <c r="BD354" s="45">
        <v>90</v>
      </c>
      <c r="BE354" s="45">
        <v>90</v>
      </c>
      <c r="BF354" s="45">
        <v>149.9</v>
      </c>
      <c r="BG354" s="233" t="s">
        <v>4420</v>
      </c>
      <c r="BH354" s="310" t="s">
        <v>4465</v>
      </c>
      <c r="BI354" s="310" t="s">
        <v>4465</v>
      </c>
      <c r="BJ354" s="310">
        <v>4</v>
      </c>
      <c r="BK354" s="18">
        <v>8</v>
      </c>
      <c r="BL354" s="196" t="s">
        <v>5791</v>
      </c>
      <c r="BM354" s="197" t="s">
        <v>5791</v>
      </c>
      <c r="BN354" s="197" t="s">
        <v>5791</v>
      </c>
      <c r="BO354" s="197" t="s">
        <v>5791</v>
      </c>
      <c r="BP354" s="197" t="s">
        <v>5791</v>
      </c>
      <c r="BQ354" s="197" t="s">
        <v>5791</v>
      </c>
      <c r="BR354" s="197" t="s">
        <v>5791</v>
      </c>
      <c r="BS354" s="197" t="s">
        <v>5791</v>
      </c>
      <c r="BT354" s="196" t="s">
        <v>5791</v>
      </c>
      <c r="BU354" s="197" t="s">
        <v>5791</v>
      </c>
      <c r="BV354" s="197" t="s">
        <v>5791</v>
      </c>
      <c r="BW354" s="197" t="s">
        <v>5791</v>
      </c>
      <c r="BX354" s="197" t="s">
        <v>5791</v>
      </c>
      <c r="BY354" s="197" t="s">
        <v>5791</v>
      </c>
      <c r="BZ354" s="212" t="s">
        <v>5791</v>
      </c>
      <c r="CA354" s="196" t="s">
        <v>5791</v>
      </c>
      <c r="CB354" s="197" t="s">
        <v>5791</v>
      </c>
      <c r="CC354" s="197" t="s">
        <v>5791</v>
      </c>
      <c r="CD354" s="197" t="s">
        <v>5791</v>
      </c>
      <c r="CE354" s="197" t="s">
        <v>5791</v>
      </c>
      <c r="CF354" s="212" t="s">
        <v>5791</v>
      </c>
      <c r="CG354" s="310" t="s">
        <v>4450</v>
      </c>
      <c r="CH354" s="310">
        <v>275</v>
      </c>
      <c r="CI354" s="21">
        <v>357</v>
      </c>
      <c r="CJ354" s="21">
        <v>410</v>
      </c>
      <c r="CK354" s="21">
        <v>445</v>
      </c>
      <c r="CL354" s="68">
        <v>210000</v>
      </c>
      <c r="CM354" s="310" t="s">
        <v>4450</v>
      </c>
      <c r="CN354" s="310">
        <v>275</v>
      </c>
      <c r="CO354" s="21">
        <v>322</v>
      </c>
      <c r="CP354" s="21">
        <v>410</v>
      </c>
      <c r="CQ354" s="21">
        <v>488</v>
      </c>
      <c r="CR354" s="68">
        <v>210000</v>
      </c>
      <c r="CS354" s="310" t="s">
        <v>4450</v>
      </c>
      <c r="CT354" s="310">
        <v>275</v>
      </c>
      <c r="CU354" s="21">
        <v>325</v>
      </c>
      <c r="CV354" s="21">
        <v>410</v>
      </c>
      <c r="CW354" s="21">
        <v>451</v>
      </c>
      <c r="CX354" s="68">
        <v>210000</v>
      </c>
      <c r="CY354" s="201" t="s">
        <v>5791</v>
      </c>
      <c r="CZ354" s="202" t="s">
        <v>5791</v>
      </c>
      <c r="DA354" s="202" t="s">
        <v>5791</v>
      </c>
      <c r="DB354" s="203" t="s">
        <v>5791</v>
      </c>
      <c r="DC354" s="201" t="s">
        <v>5791</v>
      </c>
      <c r="DD354" s="202" t="s">
        <v>5791</v>
      </c>
      <c r="DE354" s="203" t="s">
        <v>5791</v>
      </c>
      <c r="DF354" s="274" t="s">
        <v>5791</v>
      </c>
      <c r="DG354" s="303">
        <v>10.9</v>
      </c>
      <c r="DH354" s="303">
        <v>900</v>
      </c>
      <c r="DI354" s="32">
        <v>990</v>
      </c>
      <c r="DJ354" s="303">
        <v>1000</v>
      </c>
      <c r="DK354" s="32">
        <v>1100</v>
      </c>
      <c r="DL354" s="60">
        <v>200000</v>
      </c>
      <c r="DM354" s="29" t="s">
        <v>6263</v>
      </c>
      <c r="DN354" s="301" t="s">
        <v>4435</v>
      </c>
      <c r="DO354" s="306" t="s">
        <v>4565</v>
      </c>
    </row>
    <row r="355" spans="1:119" ht="15.6" customHeight="1" thickBot="1">
      <c r="A355" s="304">
        <v>350</v>
      </c>
      <c r="B355" s="349"/>
      <c r="C355" s="349"/>
      <c r="D355" s="358"/>
      <c r="E355" s="360"/>
      <c r="F355" s="349"/>
      <c r="G355" s="350"/>
      <c r="H355" s="350"/>
      <c r="I355" s="350"/>
      <c r="J355" s="285" t="s">
        <v>6267</v>
      </c>
      <c r="K355" s="304" t="s">
        <v>4383</v>
      </c>
      <c r="L355" s="311" t="s">
        <v>5791</v>
      </c>
      <c r="M355" s="308" t="s">
        <v>4508</v>
      </c>
      <c r="N355" s="311" t="s">
        <v>4702</v>
      </c>
      <c r="O355" s="14" t="s">
        <v>4506</v>
      </c>
      <c r="P355" s="311" t="s">
        <v>4420</v>
      </c>
      <c r="Q355" s="311" t="s">
        <v>4420</v>
      </c>
      <c r="R355" s="311" t="s">
        <v>4420</v>
      </c>
      <c r="S355" s="311" t="s">
        <v>5791</v>
      </c>
      <c r="T355" s="86" t="s">
        <v>4420</v>
      </c>
      <c r="U355" s="86" t="s">
        <v>5791</v>
      </c>
      <c r="V355" s="86" t="s">
        <v>4420</v>
      </c>
      <c r="W355" s="86" t="s">
        <v>5791</v>
      </c>
      <c r="X355" s="311" t="s">
        <v>4420</v>
      </c>
      <c r="Y355" s="311" t="s">
        <v>5791</v>
      </c>
      <c r="Z355" s="311" t="s">
        <v>4558</v>
      </c>
      <c r="AA355" s="14">
        <v>10</v>
      </c>
      <c r="AB355" s="228">
        <v>0</v>
      </c>
      <c r="AC355" s="14">
        <v>924</v>
      </c>
      <c r="AD355" s="311" t="s">
        <v>5491</v>
      </c>
      <c r="AE355" s="23">
        <f>INDEX('[2]Cross-Section Database'!$C$2:$V$2928,MATCH(AD355,'[2]Cross-Section Database'!$B$2:$B$2928,0),3)</f>
        <v>200</v>
      </c>
      <c r="AF355" s="23">
        <f>INDEX('[2]Cross-Section Database'!$C$2:$V$2928,MATCH(AD355,'[2]Cross-Section Database'!$B$2:$B$2928,0),4)</f>
        <v>200</v>
      </c>
      <c r="AG355" s="23">
        <f>INDEX('[2]Cross-Section Database'!$C$2:$V$2928,MATCH(AD355,'[2]Cross-Section Database'!$B$2:$B$2928,0),6)</f>
        <v>8.8000000000000007</v>
      </c>
      <c r="AH355" s="23">
        <f>INDEX('[2]Cross-Section Database'!$C$2:$V$2928,MATCH(AD355,'[2]Cross-Section Database'!$B$2:$B$2928,0),5)</f>
        <v>8.8000000000000007</v>
      </c>
      <c r="AI355" s="35">
        <v>2600</v>
      </c>
      <c r="AJ355" s="308" t="s">
        <v>4256</v>
      </c>
      <c r="AK355" s="23">
        <f>INDEX('[2]Cross-Section Database'!$C$2:$V$2928,MATCH(AJ355,'[2]Cross-Section Database'!$B$2:$B$2928,0),3)</f>
        <v>602.6</v>
      </c>
      <c r="AL355" s="23">
        <f>INDEX('[2]Cross-Section Database'!$C$2:$V$2928,MATCH(AJ355,'[2]Cross-Section Database'!$B$2:$B$2928,0),4)</f>
        <v>227.6</v>
      </c>
      <c r="AM355" s="23">
        <f>INDEX('[2]Cross-Section Database'!$C$2:$V$2928,MATCH(AJ355,'[2]Cross-Section Database'!$B$2:$B$2928,0),6)</f>
        <v>14.8</v>
      </c>
      <c r="AN355" s="23">
        <f>INDEX('[2]Cross-Section Database'!$C$2:$V$2928,MATCH(AJ355,'[2]Cross-Section Database'!$B$2:$B$2928,0),5)</f>
        <v>10.5</v>
      </c>
      <c r="AO355" s="23">
        <v>1300</v>
      </c>
      <c r="AP355" s="23">
        <f>INDEX('[2]Cross-Section Database'!$C$2:$V$3928,MATCH(AJ355,'[2]Cross-Section Database'!$B$2:$B$3928,0),11)</f>
        <v>757800000</v>
      </c>
      <c r="AQ355" s="25">
        <f>INDEX('[2]Cross-Section Database'!$C$2:$V$3928,MATCH(AJ355,'[2]Cross-Section Database'!$B$2:$B$3928,0),12)</f>
        <v>2881000</v>
      </c>
      <c r="AR355" s="55">
        <v>15</v>
      </c>
      <c r="AS355" s="23">
        <v>250</v>
      </c>
      <c r="AT355" s="55">
        <v>652.20000000000005</v>
      </c>
      <c r="AU355" s="55">
        <v>25</v>
      </c>
      <c r="AV355" s="55">
        <v>25</v>
      </c>
      <c r="AW355" s="299" t="s">
        <v>6261</v>
      </c>
      <c r="AX355" s="311" t="s">
        <v>6265</v>
      </c>
      <c r="AY355" s="23">
        <f>75/AZ355/0.25</f>
        <v>12.5</v>
      </c>
      <c r="AZ355" s="311">
        <v>24</v>
      </c>
      <c r="BA355" s="311">
        <f t="shared" si="160"/>
        <v>353</v>
      </c>
      <c r="BB355" s="23">
        <v>85</v>
      </c>
      <c r="BC355" s="23">
        <v>85</v>
      </c>
      <c r="BD355" s="55">
        <v>90</v>
      </c>
      <c r="BE355" s="55">
        <v>90</v>
      </c>
      <c r="BF355" s="55">
        <v>302.2</v>
      </c>
      <c r="BG355" s="235" t="s">
        <v>4420</v>
      </c>
      <c r="BH355" s="311" t="s">
        <v>4465</v>
      </c>
      <c r="BI355" s="311" t="s">
        <v>4465</v>
      </c>
      <c r="BJ355" s="311">
        <v>4</v>
      </c>
      <c r="BK355" s="14">
        <v>8</v>
      </c>
      <c r="BL355" s="196" t="s">
        <v>5791</v>
      </c>
      <c r="BM355" s="197" t="s">
        <v>5791</v>
      </c>
      <c r="BN355" s="197" t="s">
        <v>5791</v>
      </c>
      <c r="BO355" s="197" t="s">
        <v>5791</v>
      </c>
      <c r="BP355" s="197" t="s">
        <v>5791</v>
      </c>
      <c r="BQ355" s="197" t="s">
        <v>5791</v>
      </c>
      <c r="BR355" s="197" t="s">
        <v>5791</v>
      </c>
      <c r="BS355" s="197" t="s">
        <v>5791</v>
      </c>
      <c r="BT355" s="196" t="s">
        <v>5791</v>
      </c>
      <c r="BU355" s="197" t="s">
        <v>5791</v>
      </c>
      <c r="BV355" s="197" t="s">
        <v>5791</v>
      </c>
      <c r="BW355" s="197" t="s">
        <v>5791</v>
      </c>
      <c r="BX355" s="197" t="s">
        <v>5791</v>
      </c>
      <c r="BY355" s="197" t="s">
        <v>5791</v>
      </c>
      <c r="BZ355" s="212" t="s">
        <v>5791</v>
      </c>
      <c r="CA355" s="196" t="s">
        <v>5791</v>
      </c>
      <c r="CB355" s="197" t="s">
        <v>5791</v>
      </c>
      <c r="CC355" s="197" t="s">
        <v>5791</v>
      </c>
      <c r="CD355" s="197" t="s">
        <v>5791</v>
      </c>
      <c r="CE355" s="197" t="s">
        <v>5791</v>
      </c>
      <c r="CF355" s="212" t="s">
        <v>5791</v>
      </c>
      <c r="CG355" s="310" t="s">
        <v>4450</v>
      </c>
      <c r="CH355" s="310">
        <v>275</v>
      </c>
      <c r="CI355" s="21">
        <v>357</v>
      </c>
      <c r="CJ355" s="21">
        <v>410</v>
      </c>
      <c r="CK355" s="21">
        <v>445</v>
      </c>
      <c r="CL355" s="68">
        <v>210000</v>
      </c>
      <c r="CM355" s="310" t="s">
        <v>4450</v>
      </c>
      <c r="CN355" s="310">
        <v>275</v>
      </c>
      <c r="CO355" s="21">
        <v>352</v>
      </c>
      <c r="CP355" s="21">
        <v>410</v>
      </c>
      <c r="CQ355" s="21">
        <v>488</v>
      </c>
      <c r="CR355" s="68">
        <v>210000</v>
      </c>
      <c r="CS355" s="310" t="s">
        <v>4450</v>
      </c>
      <c r="CT355" s="310">
        <v>275</v>
      </c>
      <c r="CU355" s="21">
        <v>325</v>
      </c>
      <c r="CV355" s="21">
        <v>410</v>
      </c>
      <c r="CW355" s="21">
        <v>451</v>
      </c>
      <c r="CX355" s="68">
        <v>210000</v>
      </c>
      <c r="CY355" s="201" t="s">
        <v>5791</v>
      </c>
      <c r="CZ355" s="202" t="s">
        <v>5791</v>
      </c>
      <c r="DA355" s="202" t="s">
        <v>5791</v>
      </c>
      <c r="DB355" s="203" t="s">
        <v>5791</v>
      </c>
      <c r="DC355" s="201" t="s">
        <v>5791</v>
      </c>
      <c r="DD355" s="202" t="s">
        <v>5791</v>
      </c>
      <c r="DE355" s="203" t="s">
        <v>5791</v>
      </c>
      <c r="DF355" s="274" t="s">
        <v>5791</v>
      </c>
      <c r="DG355" s="303">
        <v>10.9</v>
      </c>
      <c r="DH355" s="303">
        <v>900</v>
      </c>
      <c r="DI355" s="32">
        <v>990</v>
      </c>
      <c r="DJ355" s="303">
        <v>1000</v>
      </c>
      <c r="DK355" s="32">
        <v>1100</v>
      </c>
      <c r="DL355" s="60">
        <v>200000</v>
      </c>
      <c r="DM355" s="27" t="s">
        <v>6263</v>
      </c>
      <c r="DN355" s="308" t="s">
        <v>4435</v>
      </c>
      <c r="DO355" s="306" t="s">
        <v>4565</v>
      </c>
    </row>
    <row r="356" spans="1:119" ht="15.6" customHeight="1">
      <c r="A356" s="300">
        <v>351</v>
      </c>
      <c r="B356" s="351">
        <v>57</v>
      </c>
      <c r="C356" s="351">
        <v>2019</v>
      </c>
      <c r="D356" s="353" t="s">
        <v>4685</v>
      </c>
      <c r="E356" s="355" t="s">
        <v>4838</v>
      </c>
      <c r="F356" s="348">
        <v>2</v>
      </c>
      <c r="G356" s="348" t="s">
        <v>5931</v>
      </c>
      <c r="H356" s="348" t="s">
        <v>5922</v>
      </c>
      <c r="I356" s="348" t="s">
        <v>6256</v>
      </c>
      <c r="J356" s="284" t="s">
        <v>6356</v>
      </c>
      <c r="K356" s="300" t="s">
        <v>6320</v>
      </c>
      <c r="L356" s="309" t="s">
        <v>5791</v>
      </c>
      <c r="M356" s="300" t="s">
        <v>4507</v>
      </c>
      <c r="N356" s="309" t="s">
        <v>4701</v>
      </c>
      <c r="O356" s="17" t="s">
        <v>4506</v>
      </c>
      <c r="P356" s="309" t="s">
        <v>6318</v>
      </c>
      <c r="Q356" s="309" t="s">
        <v>4470</v>
      </c>
      <c r="R356" s="309" t="s">
        <v>4420</v>
      </c>
      <c r="S356" s="309" t="s">
        <v>5791</v>
      </c>
      <c r="T356" s="64" t="s">
        <v>4420</v>
      </c>
      <c r="U356" s="64" t="s">
        <v>5791</v>
      </c>
      <c r="V356" s="64" t="s">
        <v>4420</v>
      </c>
      <c r="W356" s="64" t="s">
        <v>5791</v>
      </c>
      <c r="X356" s="309" t="s">
        <v>4420</v>
      </c>
      <c r="Y356" s="309" t="s">
        <v>5791</v>
      </c>
      <c r="Z356" s="309" t="s">
        <v>4558</v>
      </c>
      <c r="AA356" s="17">
        <v>10</v>
      </c>
      <c r="AB356" s="232">
        <v>0</v>
      </c>
      <c r="AC356" s="17">
        <v>0</v>
      </c>
      <c r="AD356" s="300" t="s">
        <v>4647</v>
      </c>
      <c r="AE356" s="16">
        <f>INDEX('[2]Cross-Section Database'!$C$2:$V$2928,MATCH(AD356,'[2]Cross-Section Database'!$B$2:$B$2928,0),3)</f>
        <v>300</v>
      </c>
      <c r="AF356" s="16">
        <f>INDEX('[2]Cross-Section Database'!$C$2:$V$2928,MATCH(AD356,'[2]Cross-Section Database'!$B$2:$B$2928,0),4)</f>
        <v>300</v>
      </c>
      <c r="AG356" s="44">
        <f>INDEX('[2]Cross-Section Database'!$C$2:$V$2928,MATCH(AD356,'[2]Cross-Section Database'!$B$2:$B$2928,0),6)</f>
        <v>10</v>
      </c>
      <c r="AH356" s="44">
        <f>INDEX('[2]Cross-Section Database'!$C$2:$V$2928,MATCH(AD356,'[2]Cross-Section Database'!$B$2:$B$2928,0),5)</f>
        <v>10</v>
      </c>
      <c r="AI356" s="16">
        <v>1500</v>
      </c>
      <c r="AJ356" s="300" t="s">
        <v>6362</v>
      </c>
      <c r="AK356" s="16">
        <f>INDEX('[2]Cross-Section Database'!$C$2:$V$2928,MATCH(AJ356,'[2]Cross-Section Database'!$B$2:$B$2928,0),3)</f>
        <v>602</v>
      </c>
      <c r="AL356" s="16">
        <f>INDEX('[2]Cross-Section Database'!$C$2:$V$2928,MATCH(AJ356,'[2]Cross-Section Database'!$B$2:$B$2928,0),4)</f>
        <v>228</v>
      </c>
      <c r="AM356" s="16">
        <f>INDEX('[2]Cross-Section Database'!$C$2:$V$2928,MATCH(AJ356,'[2]Cross-Section Database'!$B$2:$B$2928,0),6)</f>
        <v>14.8</v>
      </c>
      <c r="AN356" s="16">
        <f>INDEX('[2]Cross-Section Database'!$C$2:$V$2928,MATCH(AJ356,'[2]Cross-Section Database'!$B$2:$B$2928,0),5)</f>
        <v>10.6</v>
      </c>
      <c r="AO356" s="16">
        <v>1680</v>
      </c>
      <c r="AP356" s="16">
        <f>INDEX('[2]Cross-Section Database'!$C$2:$V$3928,MATCH(AJ356,'[2]Cross-Section Database'!$B$2:$B$3928,0),11)</f>
        <v>761000000</v>
      </c>
      <c r="AQ356" s="26">
        <f>INDEX('[2]Cross-Section Database'!$C$2:$V$3928,MATCH(AJ356,'[2]Cross-Section Database'!$B$2:$B$3928,0),12)</f>
        <v>2900000</v>
      </c>
      <c r="AR356" s="16">
        <v>12</v>
      </c>
      <c r="AS356" s="16">
        <v>270</v>
      </c>
      <c r="AT356" s="16">
        <v>610</v>
      </c>
      <c r="AU356" s="16">
        <f>(AT356-AK356)-AV356</f>
        <v>4</v>
      </c>
      <c r="AV356" s="16">
        <f t="shared" si="183"/>
        <v>4</v>
      </c>
      <c r="AW356" s="300" t="s">
        <v>5671</v>
      </c>
      <c r="AX356" s="309" t="s">
        <v>4501</v>
      </c>
      <c r="AY356" s="16">
        <f>380/AZ356/0.25</f>
        <v>76</v>
      </c>
      <c r="AZ356" s="309">
        <v>20</v>
      </c>
      <c r="BA356" s="309">
        <f t="shared" ref="BA356:BA366" si="186">IF(AZ356=24,353,IF(AZ356=22,303,IF(AZ356=20,245,IF(AZ356=16,157,0))))</f>
        <v>245</v>
      </c>
      <c r="BB356" s="16">
        <v>105</v>
      </c>
      <c r="BC356" s="16">
        <v>105</v>
      </c>
      <c r="BD356" s="16">
        <v>200</v>
      </c>
      <c r="BE356" s="16">
        <v>140</v>
      </c>
      <c r="BF356" s="16">
        <v>0</v>
      </c>
      <c r="BG356" s="22" t="s">
        <v>4470</v>
      </c>
      <c r="BH356" s="309" t="s">
        <v>6204</v>
      </c>
      <c r="BI356" s="309" t="s">
        <v>6204</v>
      </c>
      <c r="BJ356" s="309">
        <v>2</v>
      </c>
      <c r="BK356" s="309">
        <v>6</v>
      </c>
      <c r="BL356" s="300">
        <v>120</v>
      </c>
      <c r="BM356" s="309">
        <v>1600</v>
      </c>
      <c r="BN356" s="309" t="s">
        <v>6191</v>
      </c>
      <c r="BO356" s="309">
        <v>1</v>
      </c>
      <c r="BP356" s="309">
        <v>300</v>
      </c>
      <c r="BQ356" s="309">
        <v>1620</v>
      </c>
      <c r="BR356" s="309">
        <v>55</v>
      </c>
      <c r="BS356" s="309" t="s">
        <v>4590</v>
      </c>
      <c r="BT356" s="300" t="s">
        <v>5855</v>
      </c>
      <c r="BU356" s="309">
        <v>6</v>
      </c>
      <c r="BV356" s="309">
        <v>1</v>
      </c>
      <c r="BW356" s="309">
        <v>19</v>
      </c>
      <c r="BX356" s="309">
        <v>100</v>
      </c>
      <c r="BY356" s="309">
        <v>200</v>
      </c>
      <c r="BZ356" s="17">
        <v>300</v>
      </c>
      <c r="CA356" s="300" t="s">
        <v>4586</v>
      </c>
      <c r="CB356" s="309" t="s">
        <v>4582</v>
      </c>
      <c r="CC356" s="16">
        <v>0</v>
      </c>
      <c r="CD356" s="16">
        <f>8*PI()*12^2/4</f>
        <v>904.77868423386042</v>
      </c>
      <c r="CE356" s="30">
        <v>20</v>
      </c>
      <c r="CF356" s="121">
        <v>8.6999999999999994E-3</v>
      </c>
      <c r="CG356" s="309" t="s">
        <v>5661</v>
      </c>
      <c r="CH356" s="64">
        <v>350</v>
      </c>
      <c r="CI356" s="309">
        <v>485</v>
      </c>
      <c r="CJ356" s="64">
        <v>470</v>
      </c>
      <c r="CK356" s="309">
        <v>552</v>
      </c>
      <c r="CL356" s="65">
        <v>200000</v>
      </c>
      <c r="CM356" s="300" t="s">
        <v>5663</v>
      </c>
      <c r="CN356" s="64">
        <v>275</v>
      </c>
      <c r="CO356" s="16">
        <v>352.5</v>
      </c>
      <c r="CP356" s="64">
        <v>505</v>
      </c>
      <c r="CQ356" s="16">
        <v>495.5</v>
      </c>
      <c r="CR356" s="65">
        <v>200000</v>
      </c>
      <c r="CS356" s="309" t="s">
        <v>5661</v>
      </c>
      <c r="CT356" s="64">
        <v>350</v>
      </c>
      <c r="CU356" s="309">
        <v>367</v>
      </c>
      <c r="CV356" s="64">
        <v>470</v>
      </c>
      <c r="CW356" s="309">
        <v>499</v>
      </c>
      <c r="CX356" s="75">
        <v>200000</v>
      </c>
      <c r="CY356" s="147" t="s">
        <v>5672</v>
      </c>
      <c r="CZ356" s="93">
        <v>52.8</v>
      </c>
      <c r="DA356" s="93">
        <v>4.5999999999999996</v>
      </c>
      <c r="DB356" s="65">
        <v>36000</v>
      </c>
      <c r="DC356" s="94">
        <v>530</v>
      </c>
      <c r="DD356" s="93">
        <v>640</v>
      </c>
      <c r="DE356" s="95">
        <v>200000</v>
      </c>
      <c r="DF356" s="294">
        <v>550</v>
      </c>
      <c r="DG356" s="309">
        <v>8.8000000000000007</v>
      </c>
      <c r="DH356" s="309">
        <v>640</v>
      </c>
      <c r="DI356" s="309">
        <v>820</v>
      </c>
      <c r="DJ356" s="309">
        <v>800</v>
      </c>
      <c r="DK356" s="309">
        <v>966</v>
      </c>
      <c r="DL356" s="75">
        <v>200000</v>
      </c>
      <c r="DM356" s="28" t="s">
        <v>6008</v>
      </c>
      <c r="DN356" s="309" t="s">
        <v>4560</v>
      </c>
      <c r="DO356" s="305" t="s">
        <v>4565</v>
      </c>
    </row>
    <row r="357" spans="1:119" ht="16.2" thickBot="1">
      <c r="A357" s="308">
        <v>352</v>
      </c>
      <c r="B357" s="352"/>
      <c r="C357" s="352"/>
      <c r="D357" s="354"/>
      <c r="E357" s="356"/>
      <c r="F357" s="350"/>
      <c r="G357" s="350"/>
      <c r="H357" s="350"/>
      <c r="I357" s="350"/>
      <c r="J357" s="285" t="s">
        <v>6363</v>
      </c>
      <c r="K357" s="308" t="s">
        <v>6324</v>
      </c>
      <c r="L357" s="311" t="s">
        <v>6062</v>
      </c>
      <c r="M357" s="308" t="s">
        <v>4507</v>
      </c>
      <c r="N357" s="311" t="s">
        <v>4701</v>
      </c>
      <c r="O357" s="14" t="s">
        <v>4506</v>
      </c>
      <c r="P357" s="311" t="s">
        <v>6318</v>
      </c>
      <c r="Q357" s="311" t="s">
        <v>4470</v>
      </c>
      <c r="R357" s="311" t="s">
        <v>4420</v>
      </c>
      <c r="S357" s="311" t="s">
        <v>5791</v>
      </c>
      <c r="T357" s="86" t="s">
        <v>4420</v>
      </c>
      <c r="U357" s="86" t="s">
        <v>5791</v>
      </c>
      <c r="V357" s="86" t="s">
        <v>4420</v>
      </c>
      <c r="W357" s="86" t="s">
        <v>5791</v>
      </c>
      <c r="X357" s="311" t="s">
        <v>4420</v>
      </c>
      <c r="Y357" s="311" t="s">
        <v>5791</v>
      </c>
      <c r="Z357" s="311" t="s">
        <v>4558</v>
      </c>
      <c r="AA357" s="14">
        <v>10</v>
      </c>
      <c r="AB357" s="228">
        <v>0</v>
      </c>
      <c r="AC357" s="14">
        <v>0</v>
      </c>
      <c r="AD357" s="308" t="s">
        <v>4647</v>
      </c>
      <c r="AE357" s="21">
        <f>INDEX('[2]Cross-Section Database'!$C$2:$V$2928,MATCH(AD357,'[2]Cross-Section Database'!$B$2:$B$2928,0),3)</f>
        <v>300</v>
      </c>
      <c r="AF357" s="21">
        <f>INDEX('[2]Cross-Section Database'!$C$2:$V$2928,MATCH(AD357,'[2]Cross-Section Database'!$B$2:$B$2928,0),4)</f>
        <v>300</v>
      </c>
      <c r="AG357" s="45">
        <f>INDEX('[2]Cross-Section Database'!$C$2:$V$2928,MATCH(AD357,'[2]Cross-Section Database'!$B$2:$B$2928,0),6)</f>
        <v>10</v>
      </c>
      <c r="AH357" s="45">
        <f>INDEX('[2]Cross-Section Database'!$C$2:$V$2928,MATCH(AD357,'[2]Cross-Section Database'!$B$2:$B$2928,0),5)</f>
        <v>10</v>
      </c>
      <c r="AI357" s="23">
        <v>1500</v>
      </c>
      <c r="AJ357" s="308" t="s">
        <v>6362</v>
      </c>
      <c r="AK357" s="21">
        <f>INDEX('[2]Cross-Section Database'!$C$2:$V$2928,MATCH(AJ357,'[2]Cross-Section Database'!$B$2:$B$2928,0),3)</f>
        <v>602</v>
      </c>
      <c r="AL357" s="21">
        <f>INDEX('[2]Cross-Section Database'!$C$2:$V$2928,MATCH(AJ357,'[2]Cross-Section Database'!$B$2:$B$2928,0),4)</f>
        <v>228</v>
      </c>
      <c r="AM357" s="21">
        <f>INDEX('[2]Cross-Section Database'!$C$2:$V$2928,MATCH(AJ357,'[2]Cross-Section Database'!$B$2:$B$2928,0),6)</f>
        <v>14.8</v>
      </c>
      <c r="AN357" s="21">
        <f>INDEX('[2]Cross-Section Database'!$C$2:$V$2928,MATCH(AJ357,'[2]Cross-Section Database'!$B$2:$B$2928,0),5)</f>
        <v>10.6</v>
      </c>
      <c r="AO357" s="21">
        <v>1680</v>
      </c>
      <c r="AP357" s="23">
        <f>INDEX('[2]Cross-Section Database'!$C$2:$V$3928,MATCH(AJ357,'[2]Cross-Section Database'!$B$2:$B$3928,0),11)</f>
        <v>761000000</v>
      </c>
      <c r="AQ357" s="25">
        <f>INDEX('[2]Cross-Section Database'!$C$2:$V$3928,MATCH(AJ357,'[2]Cross-Section Database'!$B$2:$B$3928,0),12)</f>
        <v>2900000</v>
      </c>
      <c r="AR357" s="23">
        <v>12</v>
      </c>
      <c r="AS357" s="23">
        <v>270</v>
      </c>
      <c r="AT357" s="23">
        <v>610</v>
      </c>
      <c r="AU357" s="23">
        <f>(AT357-AK357)-AV357</f>
        <v>4</v>
      </c>
      <c r="AV357" s="23">
        <f t="shared" si="183"/>
        <v>4</v>
      </c>
      <c r="AW357" s="308" t="s">
        <v>5671</v>
      </c>
      <c r="AX357" s="311" t="s">
        <v>4501</v>
      </c>
      <c r="AY357" s="23">
        <f>380/AZ357/0.25</f>
        <v>76</v>
      </c>
      <c r="AZ357" s="311">
        <v>20</v>
      </c>
      <c r="BA357" s="311">
        <f t="shared" si="186"/>
        <v>245</v>
      </c>
      <c r="BB357" s="23">
        <v>105</v>
      </c>
      <c r="BC357" s="23">
        <v>105</v>
      </c>
      <c r="BD357" s="23">
        <v>200</v>
      </c>
      <c r="BE357" s="23">
        <v>140</v>
      </c>
      <c r="BF357" s="23">
        <v>0</v>
      </c>
      <c r="BG357" s="19" t="s">
        <v>4470</v>
      </c>
      <c r="BH357" s="311" t="s">
        <v>6204</v>
      </c>
      <c r="BI357" s="311" t="s">
        <v>6204</v>
      </c>
      <c r="BJ357" s="311">
        <v>2</v>
      </c>
      <c r="BK357" s="311">
        <v>6</v>
      </c>
      <c r="BL357" s="308">
        <v>120</v>
      </c>
      <c r="BM357" s="311">
        <v>1600</v>
      </c>
      <c r="BN357" s="311" t="s">
        <v>6191</v>
      </c>
      <c r="BO357" s="311">
        <v>1</v>
      </c>
      <c r="BP357" s="311">
        <v>300</v>
      </c>
      <c r="BQ357" s="311">
        <v>1620</v>
      </c>
      <c r="BR357" s="311">
        <v>55</v>
      </c>
      <c r="BS357" s="311" t="s">
        <v>4590</v>
      </c>
      <c r="BT357" s="308" t="s">
        <v>5855</v>
      </c>
      <c r="BU357" s="311">
        <v>6</v>
      </c>
      <c r="BV357" s="311">
        <v>1</v>
      </c>
      <c r="BW357" s="311">
        <v>19</v>
      </c>
      <c r="BX357" s="311">
        <v>100</v>
      </c>
      <c r="BY357" s="311">
        <v>200</v>
      </c>
      <c r="BZ357" s="14">
        <v>300</v>
      </c>
      <c r="CA357" s="308" t="s">
        <v>4586</v>
      </c>
      <c r="CB357" s="311" t="s">
        <v>4582</v>
      </c>
      <c r="CC357" s="23">
        <v>0</v>
      </c>
      <c r="CD357" s="23">
        <f>8*PI()*12^2/4</f>
        <v>904.77868423386042</v>
      </c>
      <c r="CE357" s="34">
        <v>20</v>
      </c>
      <c r="CF357" s="120">
        <v>8.6999999999999994E-3</v>
      </c>
      <c r="CG357" s="311" t="s">
        <v>5661</v>
      </c>
      <c r="CH357" s="86">
        <v>350</v>
      </c>
      <c r="CI357" s="311">
        <v>485</v>
      </c>
      <c r="CJ357" s="86">
        <v>470</v>
      </c>
      <c r="CK357" s="311">
        <v>552</v>
      </c>
      <c r="CL357" s="69">
        <v>200000</v>
      </c>
      <c r="CM357" s="308" t="s">
        <v>5663</v>
      </c>
      <c r="CN357" s="86">
        <v>275</v>
      </c>
      <c r="CO357" s="23">
        <v>352.5</v>
      </c>
      <c r="CP357" s="86">
        <v>505</v>
      </c>
      <c r="CQ357" s="23">
        <v>495.5</v>
      </c>
      <c r="CR357" s="69">
        <v>200000</v>
      </c>
      <c r="CS357" s="311" t="s">
        <v>5661</v>
      </c>
      <c r="CT357" s="86">
        <v>350</v>
      </c>
      <c r="CU357" s="311">
        <v>367</v>
      </c>
      <c r="CV357" s="86">
        <v>470</v>
      </c>
      <c r="CW357" s="311">
        <v>499</v>
      </c>
      <c r="CX357" s="76">
        <v>200000</v>
      </c>
      <c r="CY357" s="148" t="s">
        <v>5672</v>
      </c>
      <c r="CZ357" s="98">
        <v>52.8</v>
      </c>
      <c r="DA357" s="98">
        <v>4.5999999999999996</v>
      </c>
      <c r="DB357" s="69">
        <v>36000</v>
      </c>
      <c r="DC357" s="99">
        <v>530</v>
      </c>
      <c r="DD357" s="98">
        <v>640</v>
      </c>
      <c r="DE357" s="100">
        <v>200000</v>
      </c>
      <c r="DF357" s="296">
        <v>550</v>
      </c>
      <c r="DG357" s="311">
        <v>8.8000000000000007</v>
      </c>
      <c r="DH357" s="311">
        <v>640</v>
      </c>
      <c r="DI357" s="311">
        <v>820</v>
      </c>
      <c r="DJ357" s="311">
        <v>800</v>
      </c>
      <c r="DK357" s="311">
        <v>966</v>
      </c>
      <c r="DL357" s="76">
        <v>200000</v>
      </c>
      <c r="DM357" s="27" t="s">
        <v>6008</v>
      </c>
      <c r="DN357" s="308" t="s">
        <v>4560</v>
      </c>
      <c r="DO357" s="307" t="s">
        <v>6012</v>
      </c>
    </row>
    <row r="358" spans="1:119" ht="15.6" customHeight="1">
      <c r="A358" s="300">
        <v>353</v>
      </c>
      <c r="B358" s="348">
        <v>58</v>
      </c>
      <c r="C358" s="348">
        <v>2019</v>
      </c>
      <c r="D358" s="348" t="s">
        <v>5645</v>
      </c>
      <c r="E358" s="348" t="s">
        <v>4872</v>
      </c>
      <c r="F358" s="348">
        <v>3</v>
      </c>
      <c r="G358" s="348" t="s">
        <v>5932</v>
      </c>
      <c r="H358" s="348" t="s">
        <v>5901</v>
      </c>
      <c r="I358" s="348" t="s">
        <v>6268</v>
      </c>
      <c r="J358" s="284" t="s">
        <v>4801</v>
      </c>
      <c r="K358" s="300" t="s">
        <v>4383</v>
      </c>
      <c r="L358" s="309" t="s">
        <v>5791</v>
      </c>
      <c r="M358" s="300" t="s">
        <v>4508</v>
      </c>
      <c r="N358" s="309" t="s">
        <v>4702</v>
      </c>
      <c r="O358" s="17" t="s">
        <v>4506</v>
      </c>
      <c r="P358" s="309" t="s">
        <v>4420</v>
      </c>
      <c r="Q358" s="309" t="s">
        <v>4420</v>
      </c>
      <c r="R358" s="309" t="s">
        <v>4420</v>
      </c>
      <c r="S358" s="309" t="s">
        <v>5791</v>
      </c>
      <c r="T358" s="64" t="s">
        <v>4420</v>
      </c>
      <c r="U358" s="64" t="s">
        <v>5791</v>
      </c>
      <c r="V358" s="64" t="s">
        <v>4420</v>
      </c>
      <c r="W358" s="64" t="s">
        <v>5791</v>
      </c>
      <c r="X358" s="309" t="s">
        <v>4420</v>
      </c>
      <c r="Y358" s="309" t="s">
        <v>5791</v>
      </c>
      <c r="Z358" s="309" t="s">
        <v>4558</v>
      </c>
      <c r="AA358" s="17">
        <v>6</v>
      </c>
      <c r="AB358" s="232">
        <v>0</v>
      </c>
      <c r="AC358" s="17">
        <v>0</v>
      </c>
      <c r="AD358" s="300" t="s">
        <v>4802</v>
      </c>
      <c r="AE358" s="16">
        <v>240</v>
      </c>
      <c r="AF358" s="16">
        <v>120</v>
      </c>
      <c r="AG358" s="16">
        <v>12</v>
      </c>
      <c r="AH358" s="16">
        <v>10</v>
      </c>
      <c r="AI358" s="16">
        <v>1500</v>
      </c>
      <c r="AJ358" s="300" t="s">
        <v>4802</v>
      </c>
      <c r="AK358" s="16">
        <v>240</v>
      </c>
      <c r="AL358" s="16">
        <v>120</v>
      </c>
      <c r="AM358" s="16">
        <v>12</v>
      </c>
      <c r="AN358" s="16">
        <v>10</v>
      </c>
      <c r="AO358" s="16">
        <v>1470</v>
      </c>
      <c r="AP358" s="16">
        <f>AL358*AK358^3/12-(AL358-AN358)*(AK358-2*AM358)^3/12</f>
        <v>45861120</v>
      </c>
      <c r="AQ358" s="24">
        <f>AL358*AK358^2/4-(AL358-AN358)*(AK358-2*AM358)^2/4</f>
        <v>444960</v>
      </c>
      <c r="AR358" s="16">
        <v>8</v>
      </c>
      <c r="AS358" s="16">
        <v>120</v>
      </c>
      <c r="AT358" s="16">
        <v>260</v>
      </c>
      <c r="AU358" s="16">
        <v>10</v>
      </c>
      <c r="AV358" s="16">
        <v>10</v>
      </c>
      <c r="AW358" s="300" t="s">
        <v>5806</v>
      </c>
      <c r="AX358" s="309" t="s">
        <v>4498</v>
      </c>
      <c r="AY358" s="16">
        <f>0.175*BA358*DJ358/1000</f>
        <v>21.98</v>
      </c>
      <c r="AZ358" s="309">
        <v>16</v>
      </c>
      <c r="BA358" s="309">
        <f t="shared" si="186"/>
        <v>157</v>
      </c>
      <c r="BB358" s="16">
        <v>65</v>
      </c>
      <c r="BC358" s="16">
        <v>65</v>
      </c>
      <c r="BD358" s="16">
        <v>65</v>
      </c>
      <c r="BE358" s="16">
        <v>70</v>
      </c>
      <c r="BF358" s="16">
        <v>0</v>
      </c>
      <c r="BG358" s="22" t="s">
        <v>4470</v>
      </c>
      <c r="BH358" s="309" t="s">
        <v>6204</v>
      </c>
      <c r="BI358" s="309" t="s">
        <v>6204</v>
      </c>
      <c r="BJ358" s="309">
        <v>2</v>
      </c>
      <c r="BK358" s="17">
        <v>6</v>
      </c>
      <c r="BL358" s="194" t="s">
        <v>5791</v>
      </c>
      <c r="BM358" s="195" t="s">
        <v>5791</v>
      </c>
      <c r="BN358" s="195" t="s">
        <v>5791</v>
      </c>
      <c r="BO358" s="195" t="s">
        <v>5791</v>
      </c>
      <c r="BP358" s="195" t="s">
        <v>5791</v>
      </c>
      <c r="BQ358" s="195" t="s">
        <v>5791</v>
      </c>
      <c r="BR358" s="195" t="s">
        <v>5791</v>
      </c>
      <c r="BS358" s="195" t="s">
        <v>5791</v>
      </c>
      <c r="BT358" s="194" t="s">
        <v>5791</v>
      </c>
      <c r="BU358" s="195" t="s">
        <v>5791</v>
      </c>
      <c r="BV358" s="195" t="s">
        <v>5791</v>
      </c>
      <c r="BW358" s="195" t="s">
        <v>5791</v>
      </c>
      <c r="BX358" s="195" t="s">
        <v>5791</v>
      </c>
      <c r="BY358" s="195" t="s">
        <v>5791</v>
      </c>
      <c r="BZ358" s="213" t="s">
        <v>5791</v>
      </c>
      <c r="CA358" s="195" t="s">
        <v>5791</v>
      </c>
      <c r="CB358" s="195" t="s">
        <v>5791</v>
      </c>
      <c r="CC358" s="195" t="s">
        <v>5791</v>
      </c>
      <c r="CD358" s="195" t="s">
        <v>5791</v>
      </c>
      <c r="CE358" s="195" t="s">
        <v>5791</v>
      </c>
      <c r="CF358" s="213" t="s">
        <v>5791</v>
      </c>
      <c r="CG358" s="300" t="s">
        <v>5660</v>
      </c>
      <c r="CH358" s="309">
        <v>235</v>
      </c>
      <c r="CI358" s="16">
        <v>256</v>
      </c>
      <c r="CJ358" s="309">
        <v>630</v>
      </c>
      <c r="CK358" s="16">
        <v>641</v>
      </c>
      <c r="CL358" s="81">
        <v>201100</v>
      </c>
      <c r="CM358" s="300" t="s">
        <v>5660</v>
      </c>
      <c r="CN358" s="309">
        <v>235</v>
      </c>
      <c r="CO358" s="16">
        <v>256</v>
      </c>
      <c r="CP358" s="309">
        <v>630</v>
      </c>
      <c r="CQ358" s="16">
        <v>641</v>
      </c>
      <c r="CR358" s="81">
        <v>201100</v>
      </c>
      <c r="CS358" s="300" t="s">
        <v>5660</v>
      </c>
      <c r="CT358" s="309">
        <v>235</v>
      </c>
      <c r="CU358" s="16">
        <v>335</v>
      </c>
      <c r="CV358" s="309">
        <v>630</v>
      </c>
      <c r="CW358" s="16">
        <v>630</v>
      </c>
      <c r="CX358" s="80">
        <v>200000</v>
      </c>
      <c r="CY358" s="198" t="s">
        <v>5791</v>
      </c>
      <c r="CZ358" s="199" t="s">
        <v>5791</v>
      </c>
      <c r="DA358" s="199" t="s">
        <v>5791</v>
      </c>
      <c r="DB358" s="200" t="s">
        <v>5791</v>
      </c>
      <c r="DC358" s="198" t="s">
        <v>5791</v>
      </c>
      <c r="DD358" s="199" t="s">
        <v>5791</v>
      </c>
      <c r="DE358" s="200" t="s">
        <v>5791</v>
      </c>
      <c r="DF358" s="273" t="s">
        <v>5791</v>
      </c>
      <c r="DG358" s="309" t="s">
        <v>5668</v>
      </c>
      <c r="DH358" s="309">
        <v>640</v>
      </c>
      <c r="DI358" s="16">
        <v>636.9</v>
      </c>
      <c r="DJ358" s="309">
        <v>800</v>
      </c>
      <c r="DK358" s="16">
        <v>796</v>
      </c>
      <c r="DL358" s="65">
        <v>200000</v>
      </c>
      <c r="DM358" s="28" t="s">
        <v>5834</v>
      </c>
      <c r="DN358" s="309" t="s">
        <v>4435</v>
      </c>
      <c r="DO358" s="305" t="s">
        <v>4565</v>
      </c>
    </row>
    <row r="359" spans="1:119">
      <c r="A359" s="301">
        <v>354</v>
      </c>
      <c r="B359" s="349"/>
      <c r="C359" s="349"/>
      <c r="D359" s="349"/>
      <c r="E359" s="349"/>
      <c r="F359" s="349"/>
      <c r="G359" s="349"/>
      <c r="H359" s="349"/>
      <c r="I359" s="349"/>
      <c r="J359" s="286" t="s">
        <v>4819</v>
      </c>
      <c r="K359" s="301" t="s">
        <v>4383</v>
      </c>
      <c r="L359" s="310" t="s">
        <v>5791</v>
      </c>
      <c r="M359" s="301" t="s">
        <v>4508</v>
      </c>
      <c r="N359" s="310" t="s">
        <v>4702</v>
      </c>
      <c r="O359" s="18" t="s">
        <v>4506</v>
      </c>
      <c r="P359" s="310" t="s">
        <v>4420</v>
      </c>
      <c r="Q359" s="310" t="s">
        <v>4420</v>
      </c>
      <c r="R359" s="310" t="s">
        <v>4420</v>
      </c>
      <c r="S359" s="310" t="s">
        <v>5791</v>
      </c>
      <c r="T359" s="59" t="s">
        <v>4420</v>
      </c>
      <c r="U359" s="59" t="s">
        <v>5791</v>
      </c>
      <c r="V359" s="59" t="s">
        <v>4420</v>
      </c>
      <c r="W359" s="59" t="s">
        <v>5791</v>
      </c>
      <c r="X359" s="310" t="s">
        <v>4420</v>
      </c>
      <c r="Y359" s="310" t="s">
        <v>5791</v>
      </c>
      <c r="Z359" s="310" t="s">
        <v>4558</v>
      </c>
      <c r="AA359" s="18">
        <v>6</v>
      </c>
      <c r="AB359" s="223">
        <v>0</v>
      </c>
      <c r="AC359" s="18">
        <v>0</v>
      </c>
      <c r="AD359" s="310" t="s">
        <v>4818</v>
      </c>
      <c r="AE359" s="21">
        <f>INDEX('[2]Cross-Section Database'!$C$2:$V$2928,MATCH(AD359,'[2]Cross-Section Database'!$B$2:$B$2928,0),3)</f>
        <v>150</v>
      </c>
      <c r="AF359" s="21">
        <f>INDEX('[2]Cross-Section Database'!$C$2:$V$2928,MATCH(AD359,'[2]Cross-Section Database'!$B$2:$B$2928,0),4)</f>
        <v>150</v>
      </c>
      <c r="AG359" s="45">
        <f>INDEX('[2]Cross-Section Database'!$C$2:$V$2928,MATCH(AD359,'[2]Cross-Section Database'!$B$2:$B$2928,0),6)</f>
        <v>10</v>
      </c>
      <c r="AH359" s="45">
        <f>INDEX('[2]Cross-Section Database'!$C$2:$V$2928,MATCH(AD359,'[2]Cross-Section Database'!$B$2:$B$2928,0),5)</f>
        <v>10</v>
      </c>
      <c r="AI359" s="21">
        <v>1500</v>
      </c>
      <c r="AJ359" s="301" t="s">
        <v>4802</v>
      </c>
      <c r="AK359" s="21">
        <v>240</v>
      </c>
      <c r="AL359" s="21">
        <v>120</v>
      </c>
      <c r="AM359" s="21">
        <v>12</v>
      </c>
      <c r="AN359" s="21">
        <v>10</v>
      </c>
      <c r="AO359" s="21">
        <v>1470</v>
      </c>
      <c r="AP359" s="21">
        <f>AL359*AK359^3/12-(AL359-AN359)*(AK359-2*AM359)^3/12</f>
        <v>45861120</v>
      </c>
      <c r="AQ359" s="24">
        <f>AL359*AK359^2/4-(AL359-AN359)*(AK359-2*AM359)^2/4</f>
        <v>444960</v>
      </c>
      <c r="AR359" s="21">
        <v>6</v>
      </c>
      <c r="AS359" s="21">
        <v>140</v>
      </c>
      <c r="AT359" s="21">
        <v>260</v>
      </c>
      <c r="AU359" s="21">
        <v>10</v>
      </c>
      <c r="AV359" s="21">
        <v>10</v>
      </c>
      <c r="AW359" s="301" t="s">
        <v>5658</v>
      </c>
      <c r="AX359" s="310" t="s">
        <v>4821</v>
      </c>
      <c r="AY359" s="21">
        <f>190/AZ359/0.25</f>
        <v>47.5</v>
      </c>
      <c r="AZ359" s="310">
        <v>16</v>
      </c>
      <c r="BA359" s="310">
        <f t="shared" si="186"/>
        <v>157</v>
      </c>
      <c r="BB359" s="21">
        <v>65</v>
      </c>
      <c r="BC359" s="21">
        <v>65</v>
      </c>
      <c r="BD359" s="21">
        <v>65</v>
      </c>
      <c r="BE359" s="21">
        <v>80</v>
      </c>
      <c r="BF359" s="21">
        <v>0</v>
      </c>
      <c r="BG359" s="15" t="s">
        <v>4470</v>
      </c>
      <c r="BH359" s="310" t="s">
        <v>6204</v>
      </c>
      <c r="BI359" s="310" t="s">
        <v>6204</v>
      </c>
      <c r="BJ359" s="310">
        <v>2</v>
      </c>
      <c r="BK359" s="18">
        <v>6</v>
      </c>
      <c r="BL359" s="196" t="s">
        <v>5791</v>
      </c>
      <c r="BM359" s="197" t="s">
        <v>5791</v>
      </c>
      <c r="BN359" s="197" t="s">
        <v>5791</v>
      </c>
      <c r="BO359" s="197" t="s">
        <v>5791</v>
      </c>
      <c r="BP359" s="197" t="s">
        <v>5791</v>
      </c>
      <c r="BQ359" s="197" t="s">
        <v>5791</v>
      </c>
      <c r="BR359" s="197" t="s">
        <v>5791</v>
      </c>
      <c r="BS359" s="197" t="s">
        <v>5791</v>
      </c>
      <c r="BT359" s="196" t="s">
        <v>5791</v>
      </c>
      <c r="BU359" s="197" t="s">
        <v>5791</v>
      </c>
      <c r="BV359" s="197" t="s">
        <v>5791</v>
      </c>
      <c r="BW359" s="197" t="s">
        <v>5791</v>
      </c>
      <c r="BX359" s="197" t="s">
        <v>5791</v>
      </c>
      <c r="BY359" s="197" t="s">
        <v>5791</v>
      </c>
      <c r="BZ359" s="212" t="s">
        <v>5791</v>
      </c>
      <c r="CA359" s="197" t="s">
        <v>5791</v>
      </c>
      <c r="CB359" s="197" t="s">
        <v>5791</v>
      </c>
      <c r="CC359" s="197" t="s">
        <v>5791</v>
      </c>
      <c r="CD359" s="197" t="s">
        <v>5791</v>
      </c>
      <c r="CE359" s="197" t="s">
        <v>5791</v>
      </c>
      <c r="CF359" s="212" t="s">
        <v>5791</v>
      </c>
      <c r="CG359" s="301" t="s">
        <v>5660</v>
      </c>
      <c r="CH359" s="310">
        <v>235</v>
      </c>
      <c r="CI359" s="21">
        <v>507</v>
      </c>
      <c r="CJ359" s="310">
        <v>630</v>
      </c>
      <c r="CK359" s="21">
        <v>730</v>
      </c>
      <c r="CL359" s="63">
        <v>199010</v>
      </c>
      <c r="CM359" s="301" t="s">
        <v>5660</v>
      </c>
      <c r="CN359" s="310">
        <v>235</v>
      </c>
      <c r="CO359" s="21">
        <v>256</v>
      </c>
      <c r="CP359" s="310">
        <v>630</v>
      </c>
      <c r="CQ359" s="21">
        <v>641</v>
      </c>
      <c r="CR359" s="63">
        <v>201100</v>
      </c>
      <c r="CS359" s="301" t="s">
        <v>5660</v>
      </c>
      <c r="CT359" s="310">
        <v>235</v>
      </c>
      <c r="CU359" s="21">
        <v>289</v>
      </c>
      <c r="CV359" s="310">
        <v>630</v>
      </c>
      <c r="CW359" s="21">
        <v>658</v>
      </c>
      <c r="CX359" s="68">
        <v>201000</v>
      </c>
      <c r="CY359" s="201" t="s">
        <v>5791</v>
      </c>
      <c r="CZ359" s="202" t="s">
        <v>5791</v>
      </c>
      <c r="DA359" s="202" t="s">
        <v>5791</v>
      </c>
      <c r="DB359" s="203" t="s">
        <v>5791</v>
      </c>
      <c r="DC359" s="201" t="s">
        <v>5791</v>
      </c>
      <c r="DD359" s="202" t="s">
        <v>5791</v>
      </c>
      <c r="DE359" s="203" t="s">
        <v>5791</v>
      </c>
      <c r="DF359" s="274" t="s">
        <v>5791</v>
      </c>
      <c r="DG359" s="310" t="s">
        <v>5669</v>
      </c>
      <c r="DH359" s="310">
        <v>515</v>
      </c>
      <c r="DI359" s="21">
        <v>637</v>
      </c>
      <c r="DJ359" s="310">
        <v>800</v>
      </c>
      <c r="DK359" s="21">
        <v>735</v>
      </c>
      <c r="DL359" s="66">
        <v>180000</v>
      </c>
      <c r="DM359" s="29" t="s">
        <v>5831</v>
      </c>
      <c r="DN359" s="310" t="s">
        <v>4435</v>
      </c>
      <c r="DO359" s="306" t="s">
        <v>4565</v>
      </c>
    </row>
    <row r="360" spans="1:119" ht="16.2" thickBot="1">
      <c r="A360" s="308">
        <v>355</v>
      </c>
      <c r="B360" s="350"/>
      <c r="C360" s="350"/>
      <c r="D360" s="350"/>
      <c r="E360" s="350"/>
      <c r="F360" s="350"/>
      <c r="G360" s="350"/>
      <c r="H360" s="350"/>
      <c r="I360" s="350"/>
      <c r="J360" s="285" t="s">
        <v>4820</v>
      </c>
      <c r="K360" s="308" t="s">
        <v>4383</v>
      </c>
      <c r="L360" s="311" t="s">
        <v>5791</v>
      </c>
      <c r="M360" s="308" t="s">
        <v>4508</v>
      </c>
      <c r="N360" s="311" t="s">
        <v>4702</v>
      </c>
      <c r="O360" s="14" t="s">
        <v>4506</v>
      </c>
      <c r="P360" s="311" t="s">
        <v>4420</v>
      </c>
      <c r="Q360" s="311" t="s">
        <v>4420</v>
      </c>
      <c r="R360" s="311" t="s">
        <v>4420</v>
      </c>
      <c r="S360" s="311" t="s">
        <v>5791</v>
      </c>
      <c r="T360" s="86" t="s">
        <v>4420</v>
      </c>
      <c r="U360" s="86" t="s">
        <v>5791</v>
      </c>
      <c r="V360" s="86" t="s">
        <v>4420</v>
      </c>
      <c r="W360" s="86" t="s">
        <v>5791</v>
      </c>
      <c r="X360" s="311" t="s">
        <v>4420</v>
      </c>
      <c r="Y360" s="311" t="s">
        <v>5791</v>
      </c>
      <c r="Z360" s="311" t="s">
        <v>4558</v>
      </c>
      <c r="AA360" s="14">
        <v>6</v>
      </c>
      <c r="AB360" s="228">
        <v>0</v>
      </c>
      <c r="AC360" s="14">
        <v>0</v>
      </c>
      <c r="AD360" s="311" t="s">
        <v>5446</v>
      </c>
      <c r="AE360" s="23">
        <f>INDEX('[2]Cross-Section Database'!$C$2:$V$2928,MATCH(AD360,'[2]Cross-Section Database'!$B$2:$B$2928,0),3)</f>
        <v>150</v>
      </c>
      <c r="AF360" s="23">
        <f>INDEX('[2]Cross-Section Database'!$C$2:$V$2928,MATCH(AD360,'[2]Cross-Section Database'!$B$2:$B$2928,0),4)</f>
        <v>150</v>
      </c>
      <c r="AG360" s="55">
        <f>INDEX('[2]Cross-Section Database'!$C$2:$V$2928,MATCH(AD360,'[2]Cross-Section Database'!$B$2:$B$2928,0),6)</f>
        <v>6.3</v>
      </c>
      <c r="AH360" s="55">
        <f>INDEX('[2]Cross-Section Database'!$C$2:$V$2928,MATCH(AD360,'[2]Cross-Section Database'!$B$2:$B$2928,0),5)</f>
        <v>6.3</v>
      </c>
      <c r="AI360" s="23">
        <v>1500</v>
      </c>
      <c r="AJ360" s="308" t="s">
        <v>4802</v>
      </c>
      <c r="AK360" s="23">
        <v>240</v>
      </c>
      <c r="AL360" s="23">
        <v>120</v>
      </c>
      <c r="AM360" s="23">
        <v>12</v>
      </c>
      <c r="AN360" s="23">
        <v>10</v>
      </c>
      <c r="AO360" s="23">
        <v>1470</v>
      </c>
      <c r="AP360" s="23">
        <f>AL360*AK360^3/12-(AL360-AN360)*(AK360-2*AM360)^3/12</f>
        <v>45861120</v>
      </c>
      <c r="AQ360" s="25">
        <f>AL360*AK360^2/4-(AL360-AN360)*(AK360-2*AM360)^2/4</f>
        <v>444960</v>
      </c>
      <c r="AR360" s="23">
        <v>10</v>
      </c>
      <c r="AS360" s="23">
        <v>140</v>
      </c>
      <c r="AT360" s="23">
        <v>260</v>
      </c>
      <c r="AU360" s="23">
        <v>10</v>
      </c>
      <c r="AV360" s="23">
        <v>10</v>
      </c>
      <c r="AW360" s="308" t="s">
        <v>5658</v>
      </c>
      <c r="AX360" s="311" t="s">
        <v>4821</v>
      </c>
      <c r="AY360" s="23">
        <f>190/AZ360/0.25</f>
        <v>47.5</v>
      </c>
      <c r="AZ360" s="311">
        <v>16</v>
      </c>
      <c r="BA360" s="311">
        <f t="shared" si="186"/>
        <v>157</v>
      </c>
      <c r="BB360" s="23">
        <v>65</v>
      </c>
      <c r="BC360" s="23">
        <v>65</v>
      </c>
      <c r="BD360" s="23">
        <v>65</v>
      </c>
      <c r="BE360" s="23">
        <v>80</v>
      </c>
      <c r="BF360" s="23">
        <v>0</v>
      </c>
      <c r="BG360" s="19" t="s">
        <v>4470</v>
      </c>
      <c r="BH360" s="311" t="s">
        <v>6204</v>
      </c>
      <c r="BI360" s="311" t="s">
        <v>6204</v>
      </c>
      <c r="BJ360" s="311">
        <v>2</v>
      </c>
      <c r="BK360" s="14">
        <v>6</v>
      </c>
      <c r="BL360" s="191" t="s">
        <v>5791</v>
      </c>
      <c r="BM360" s="192" t="s">
        <v>5791</v>
      </c>
      <c r="BN360" s="192" t="s">
        <v>5791</v>
      </c>
      <c r="BO360" s="192" t="s">
        <v>5791</v>
      </c>
      <c r="BP360" s="192" t="s">
        <v>5791</v>
      </c>
      <c r="BQ360" s="192" t="s">
        <v>5791</v>
      </c>
      <c r="BR360" s="192" t="s">
        <v>5791</v>
      </c>
      <c r="BS360" s="192" t="s">
        <v>5791</v>
      </c>
      <c r="BT360" s="191" t="s">
        <v>5791</v>
      </c>
      <c r="BU360" s="192" t="s">
        <v>5791</v>
      </c>
      <c r="BV360" s="192" t="s">
        <v>5791</v>
      </c>
      <c r="BW360" s="192" t="s">
        <v>5791</v>
      </c>
      <c r="BX360" s="192" t="s">
        <v>5791</v>
      </c>
      <c r="BY360" s="192" t="s">
        <v>5791</v>
      </c>
      <c r="BZ360" s="214" t="s">
        <v>5791</v>
      </c>
      <c r="CA360" s="192" t="s">
        <v>5791</v>
      </c>
      <c r="CB360" s="192" t="s">
        <v>5791</v>
      </c>
      <c r="CC360" s="192" t="s">
        <v>5791</v>
      </c>
      <c r="CD360" s="192" t="s">
        <v>5791</v>
      </c>
      <c r="CE360" s="192" t="s">
        <v>5791</v>
      </c>
      <c r="CF360" s="214" t="s">
        <v>5791</v>
      </c>
      <c r="CG360" s="308" t="s">
        <v>5660</v>
      </c>
      <c r="CH360" s="311">
        <v>235</v>
      </c>
      <c r="CI360" s="23">
        <v>334</v>
      </c>
      <c r="CJ360" s="311">
        <v>630</v>
      </c>
      <c r="CK360" s="23">
        <v>640</v>
      </c>
      <c r="CL360" s="83">
        <v>200035</v>
      </c>
      <c r="CM360" s="308" t="s">
        <v>5660</v>
      </c>
      <c r="CN360" s="311">
        <v>235</v>
      </c>
      <c r="CO360" s="23">
        <v>256</v>
      </c>
      <c r="CP360" s="311">
        <v>630</v>
      </c>
      <c r="CQ360" s="23">
        <v>641</v>
      </c>
      <c r="CR360" s="83">
        <v>201100</v>
      </c>
      <c r="CS360" s="308" t="s">
        <v>5660</v>
      </c>
      <c r="CT360" s="311">
        <v>235</v>
      </c>
      <c r="CU360" s="23">
        <v>276</v>
      </c>
      <c r="CV360" s="311">
        <v>630</v>
      </c>
      <c r="CW360" s="23">
        <v>636</v>
      </c>
      <c r="CX360" s="82">
        <v>195000</v>
      </c>
      <c r="CY360" s="204" t="s">
        <v>5791</v>
      </c>
      <c r="CZ360" s="205" t="s">
        <v>5791</v>
      </c>
      <c r="DA360" s="205" t="s">
        <v>5791</v>
      </c>
      <c r="DB360" s="206" t="s">
        <v>5791</v>
      </c>
      <c r="DC360" s="204" t="s">
        <v>5791</v>
      </c>
      <c r="DD360" s="205" t="s">
        <v>5791</v>
      </c>
      <c r="DE360" s="206" t="s">
        <v>5791</v>
      </c>
      <c r="DF360" s="275" t="s">
        <v>5791</v>
      </c>
      <c r="DG360" s="311" t="s">
        <v>5669</v>
      </c>
      <c r="DH360" s="311">
        <v>515</v>
      </c>
      <c r="DI360" s="23">
        <v>637</v>
      </c>
      <c r="DJ360" s="311">
        <v>800</v>
      </c>
      <c r="DK360" s="23">
        <v>735</v>
      </c>
      <c r="DL360" s="69">
        <v>180000</v>
      </c>
      <c r="DM360" s="27" t="s">
        <v>4822</v>
      </c>
      <c r="DN360" s="308" t="s">
        <v>4435</v>
      </c>
      <c r="DO360" s="307" t="s">
        <v>4565</v>
      </c>
    </row>
    <row r="361" spans="1:119" ht="15.6" customHeight="1">
      <c r="A361" s="300">
        <v>356</v>
      </c>
      <c r="B361" s="348">
        <v>59</v>
      </c>
      <c r="C361" s="348">
        <v>2020</v>
      </c>
      <c r="D361" s="348" t="s">
        <v>4674</v>
      </c>
      <c r="E361" s="348" t="s">
        <v>5675</v>
      </c>
      <c r="F361" s="348">
        <v>6</v>
      </c>
      <c r="G361" s="348" t="s">
        <v>5930</v>
      </c>
      <c r="H361" s="348" t="s">
        <v>5919</v>
      </c>
      <c r="I361" s="348" t="s">
        <v>6269</v>
      </c>
      <c r="J361" s="284" t="s">
        <v>5639</v>
      </c>
      <c r="K361" s="300" t="s">
        <v>4534</v>
      </c>
      <c r="L361" s="309" t="s">
        <v>6063</v>
      </c>
      <c r="M361" s="300" t="s">
        <v>4508</v>
      </c>
      <c r="N361" s="309" t="s">
        <v>4702</v>
      </c>
      <c r="O361" s="17" t="s">
        <v>4506</v>
      </c>
      <c r="P361" s="309" t="s">
        <v>4420</v>
      </c>
      <c r="Q361" s="309" t="s">
        <v>4470</v>
      </c>
      <c r="R361" s="309" t="s">
        <v>4420</v>
      </c>
      <c r="S361" s="309" t="s">
        <v>5791</v>
      </c>
      <c r="T361" s="64" t="s">
        <v>4420</v>
      </c>
      <c r="U361" s="64" t="s">
        <v>5791</v>
      </c>
      <c r="V361" s="64" t="s">
        <v>4420</v>
      </c>
      <c r="W361" s="64" t="s">
        <v>5791</v>
      </c>
      <c r="X361" s="309" t="s">
        <v>4420</v>
      </c>
      <c r="Y361" s="309" t="s">
        <v>5791</v>
      </c>
      <c r="Z361" s="309" t="s">
        <v>4558</v>
      </c>
      <c r="AA361" s="87">
        <v>6</v>
      </c>
      <c r="AB361" s="232">
        <v>0</v>
      </c>
      <c r="AC361" s="87">
        <v>1387</v>
      </c>
      <c r="AD361" s="309" t="s">
        <v>5501</v>
      </c>
      <c r="AE361" s="16">
        <f>INDEX('[2]Cross-Section Database'!$C$2:$V$2928,MATCH(AD361,'[2]Cross-Section Database'!$B$2:$B$2928,0),3)</f>
        <v>250</v>
      </c>
      <c r="AF361" s="16">
        <f>INDEX('[2]Cross-Section Database'!$C$2:$V$2928,MATCH(AD361,'[2]Cross-Section Database'!$B$2:$B$2928,0),4)</f>
        <v>250</v>
      </c>
      <c r="AG361" s="16">
        <f>INDEX('[2]Cross-Section Database'!$C$2:$V$2928,MATCH(AD361,'[2]Cross-Section Database'!$B$2:$B$2928,0),6)</f>
        <v>5</v>
      </c>
      <c r="AH361" s="16">
        <f>INDEX('[2]Cross-Section Database'!$C$2:$V$2928,MATCH(AD361,'[2]Cross-Section Database'!$B$2:$B$2928,0),5)</f>
        <v>5</v>
      </c>
      <c r="AI361" s="16">
        <v>1300</v>
      </c>
      <c r="AJ361" s="300" t="s">
        <v>5597</v>
      </c>
      <c r="AK361" s="16">
        <f>INDEX('[2]Cross-Section Database'!$C$2:$V$23928,MATCH(AJ361,'[2]Cross-Section Database'!$B$2:$B$3928,0),3)</f>
        <v>350</v>
      </c>
      <c r="AL361" s="16">
        <f>INDEX('[2]Cross-Section Database'!$C$2:$V$3928,MATCH(AJ361,'[2]Cross-Section Database'!$B$2:$B$3928,0),4)</f>
        <v>175</v>
      </c>
      <c r="AM361" s="16">
        <f>INDEX('[2]Cross-Section Database'!$C$2:$V$3928,MATCH(AJ361,'[2]Cross-Section Database'!$B$2:$B$3928,0),6)</f>
        <v>11</v>
      </c>
      <c r="AN361" s="16">
        <f>INDEX('[2]Cross-Section Database'!$C$2:$V$3928,MATCH(AJ361,'[2]Cross-Section Database'!$B$2:$B$3928,0),5)</f>
        <v>7</v>
      </c>
      <c r="AO361" s="16">
        <v>1200</v>
      </c>
      <c r="AP361" s="16">
        <f>INDEX('[2]Cross-Section Database'!$C$2:$V$3928,MATCH(AJ361,'[2]Cross-Section Database'!$B$2:$B$3928,0),11)</f>
        <v>131234688.66666663</v>
      </c>
      <c r="AQ361" s="26">
        <f>INDEX('[2]Cross-Section Database'!$C$2:$V$3928,MATCH(AJ361,'[2]Cross-Section Database'!$B$2:$B$3928,0),12)</f>
        <v>840847</v>
      </c>
      <c r="AR361" s="101">
        <v>12</v>
      </c>
      <c r="AS361" s="16">
        <v>200</v>
      </c>
      <c r="AT361" s="16">
        <v>380</v>
      </c>
      <c r="AU361" s="16">
        <v>15</v>
      </c>
      <c r="AV361" s="26">
        <v>15</v>
      </c>
      <c r="AW361" s="309" t="s">
        <v>5652</v>
      </c>
      <c r="AX361" s="309" t="s">
        <v>4650</v>
      </c>
      <c r="AY361" s="309">
        <v>70</v>
      </c>
      <c r="AZ361" s="309">
        <v>16</v>
      </c>
      <c r="BA361" s="309">
        <f t="shared" si="186"/>
        <v>157</v>
      </c>
      <c r="BB361" s="16">
        <v>90</v>
      </c>
      <c r="BC361" s="16">
        <v>90</v>
      </c>
      <c r="BD361" s="16">
        <v>100</v>
      </c>
      <c r="BE361" s="16">
        <v>120</v>
      </c>
      <c r="BF361" s="16">
        <v>0</v>
      </c>
      <c r="BG361" s="22" t="s">
        <v>4470</v>
      </c>
      <c r="BH361" s="309" t="s">
        <v>6204</v>
      </c>
      <c r="BI361" s="309" t="s">
        <v>6204</v>
      </c>
      <c r="BJ361" s="309">
        <v>2</v>
      </c>
      <c r="BK361" s="17">
        <v>6</v>
      </c>
      <c r="BL361" s="194" t="s">
        <v>5791</v>
      </c>
      <c r="BM361" s="195" t="s">
        <v>5791</v>
      </c>
      <c r="BN361" s="195" t="s">
        <v>5791</v>
      </c>
      <c r="BO361" s="195" t="s">
        <v>5791</v>
      </c>
      <c r="BP361" s="195" t="s">
        <v>5791</v>
      </c>
      <c r="BQ361" s="195" t="s">
        <v>5791</v>
      </c>
      <c r="BR361" s="195" t="s">
        <v>5791</v>
      </c>
      <c r="BS361" s="195" t="s">
        <v>5791</v>
      </c>
      <c r="BT361" s="194" t="s">
        <v>5791</v>
      </c>
      <c r="BU361" s="195" t="s">
        <v>5791</v>
      </c>
      <c r="BV361" s="195" t="s">
        <v>5791</v>
      </c>
      <c r="BW361" s="195" t="s">
        <v>5791</v>
      </c>
      <c r="BX361" s="195" t="s">
        <v>5791</v>
      </c>
      <c r="BY361" s="195" t="s">
        <v>5791</v>
      </c>
      <c r="BZ361" s="213" t="s">
        <v>5791</v>
      </c>
      <c r="CA361" s="194" t="s">
        <v>5791</v>
      </c>
      <c r="CB361" s="195" t="s">
        <v>5791</v>
      </c>
      <c r="CC361" s="195" t="s">
        <v>5791</v>
      </c>
      <c r="CD361" s="195" t="s">
        <v>5791</v>
      </c>
      <c r="CE361" s="195" t="s">
        <v>5791</v>
      </c>
      <c r="CF361" s="213" t="s">
        <v>5791</v>
      </c>
      <c r="CG361" s="300" t="s">
        <v>6339</v>
      </c>
      <c r="CH361" s="309">
        <v>345</v>
      </c>
      <c r="CI361" s="16">
        <v>477.1</v>
      </c>
      <c r="CJ361" s="309">
        <v>490</v>
      </c>
      <c r="CK361" s="16">
        <v>609.20000000000005</v>
      </c>
      <c r="CL361" s="80">
        <v>208750</v>
      </c>
      <c r="CM361" s="300" t="s">
        <v>6339</v>
      </c>
      <c r="CN361" s="309">
        <v>345</v>
      </c>
      <c r="CO361" s="16">
        <v>412.5</v>
      </c>
      <c r="CP361" s="309">
        <v>490</v>
      </c>
      <c r="CQ361" s="16">
        <v>592.54999999999995</v>
      </c>
      <c r="CR361" s="81">
        <v>202125</v>
      </c>
      <c r="CS361" s="300" t="s">
        <v>6339</v>
      </c>
      <c r="CT361" s="309">
        <v>345</v>
      </c>
      <c r="CU361" s="16">
        <v>399.2</v>
      </c>
      <c r="CV361" s="309">
        <v>490</v>
      </c>
      <c r="CW361" s="16">
        <v>562.79999999999995</v>
      </c>
      <c r="CX361" s="80">
        <v>197290</v>
      </c>
      <c r="CY361" s="300" t="s">
        <v>5794</v>
      </c>
      <c r="CZ361" s="16">
        <v>39.92</v>
      </c>
      <c r="DA361" s="75">
        <v>3</v>
      </c>
      <c r="DB361" s="95">
        <v>32700</v>
      </c>
      <c r="DC361" s="198" t="s">
        <v>5791</v>
      </c>
      <c r="DD361" s="199" t="s">
        <v>5791</v>
      </c>
      <c r="DE361" s="200" t="s">
        <v>5791</v>
      </c>
      <c r="DF361" s="273" t="s">
        <v>5791</v>
      </c>
      <c r="DG361" s="309">
        <v>8.8000000000000007</v>
      </c>
      <c r="DH361" s="309">
        <v>640</v>
      </c>
      <c r="DI361" s="30">
        <v>730</v>
      </c>
      <c r="DJ361" s="309">
        <v>800</v>
      </c>
      <c r="DK361" s="30">
        <v>940</v>
      </c>
      <c r="DL361" s="65">
        <v>200000</v>
      </c>
      <c r="DM361" s="28" t="s">
        <v>6030</v>
      </c>
      <c r="DN361" s="309" t="s">
        <v>4435</v>
      </c>
      <c r="DO361" s="305" t="s">
        <v>4565</v>
      </c>
    </row>
    <row r="362" spans="1:119">
      <c r="A362" s="301">
        <v>357</v>
      </c>
      <c r="B362" s="349"/>
      <c r="C362" s="349"/>
      <c r="D362" s="349"/>
      <c r="E362" s="349"/>
      <c r="F362" s="349"/>
      <c r="G362" s="349"/>
      <c r="H362" s="349"/>
      <c r="I362" s="349"/>
      <c r="J362" s="286" t="s">
        <v>5640</v>
      </c>
      <c r="K362" s="301" t="s">
        <v>4534</v>
      </c>
      <c r="L362" s="310" t="s">
        <v>6063</v>
      </c>
      <c r="M362" s="301" t="s">
        <v>4508</v>
      </c>
      <c r="N362" s="310" t="s">
        <v>4702</v>
      </c>
      <c r="O362" s="18" t="s">
        <v>4506</v>
      </c>
      <c r="P362" s="310" t="s">
        <v>4420</v>
      </c>
      <c r="Q362" s="310" t="s">
        <v>4470</v>
      </c>
      <c r="R362" s="310" t="s">
        <v>4420</v>
      </c>
      <c r="S362" s="310" t="s">
        <v>5791</v>
      </c>
      <c r="T362" s="59" t="s">
        <v>4420</v>
      </c>
      <c r="U362" s="59" t="s">
        <v>5791</v>
      </c>
      <c r="V362" s="59" t="s">
        <v>4420</v>
      </c>
      <c r="W362" s="59" t="s">
        <v>5791</v>
      </c>
      <c r="X362" s="310" t="s">
        <v>4420</v>
      </c>
      <c r="Y362" s="310" t="s">
        <v>5791</v>
      </c>
      <c r="Z362" s="310" t="s">
        <v>4558</v>
      </c>
      <c r="AA362" s="72">
        <v>6</v>
      </c>
      <c r="AB362" s="223">
        <v>0</v>
      </c>
      <c r="AC362" s="72">
        <v>1387</v>
      </c>
      <c r="AD362" s="310" t="s">
        <v>5501</v>
      </c>
      <c r="AE362" s="21">
        <f>INDEX('[2]Cross-Section Database'!$C$2:$V$2928,MATCH(AD362,'[2]Cross-Section Database'!$B$2:$B$2928,0),3)</f>
        <v>250</v>
      </c>
      <c r="AF362" s="21">
        <f>INDEX('[2]Cross-Section Database'!$C$2:$V$2928,MATCH(AD362,'[2]Cross-Section Database'!$B$2:$B$2928,0),4)</f>
        <v>250</v>
      </c>
      <c r="AG362" s="21">
        <f>INDEX('[2]Cross-Section Database'!$C$2:$V$2928,MATCH(AD362,'[2]Cross-Section Database'!$B$2:$B$2928,0),6)</f>
        <v>5</v>
      </c>
      <c r="AH362" s="21">
        <f>INDEX('[2]Cross-Section Database'!$C$2:$V$2928,MATCH(AD362,'[2]Cross-Section Database'!$B$2:$B$2928,0),5)</f>
        <v>5</v>
      </c>
      <c r="AI362" s="21">
        <v>1300</v>
      </c>
      <c r="AJ362" s="301" t="s">
        <v>5597</v>
      </c>
      <c r="AK362" s="21">
        <f>INDEX('[2]Cross-Section Database'!$C$2:$V$23928,MATCH(AJ362,'[2]Cross-Section Database'!$B$2:$B$3928,0),3)</f>
        <v>350</v>
      </c>
      <c r="AL362" s="21">
        <f>INDEX('[2]Cross-Section Database'!$C$2:$V$3928,MATCH(AJ362,'[2]Cross-Section Database'!$B$2:$B$3928,0),4)</f>
        <v>175</v>
      </c>
      <c r="AM362" s="21">
        <f>INDEX('[2]Cross-Section Database'!$C$2:$V$3928,MATCH(AJ362,'[2]Cross-Section Database'!$B$2:$B$3928,0),6)</f>
        <v>11</v>
      </c>
      <c r="AN362" s="21">
        <f>INDEX('[2]Cross-Section Database'!$C$2:$V$3928,MATCH(AJ362,'[2]Cross-Section Database'!$B$2:$B$3928,0),5)</f>
        <v>7</v>
      </c>
      <c r="AO362" s="21">
        <v>1200</v>
      </c>
      <c r="AP362" s="21">
        <f>INDEX('[2]Cross-Section Database'!$C$2:$V$3928,MATCH(AJ362,'[2]Cross-Section Database'!$B$2:$B$3928,0),11)</f>
        <v>131234688.66666663</v>
      </c>
      <c r="AQ362" s="24">
        <f>INDEX('[2]Cross-Section Database'!$C$2:$V$3928,MATCH(AJ362,'[2]Cross-Section Database'!$B$2:$B$3928,0),12)</f>
        <v>840847</v>
      </c>
      <c r="AR362" s="102">
        <v>24</v>
      </c>
      <c r="AS362" s="21">
        <v>200</v>
      </c>
      <c r="AT362" s="21">
        <v>380</v>
      </c>
      <c r="AU362" s="21">
        <v>15</v>
      </c>
      <c r="AV362" s="24">
        <v>15</v>
      </c>
      <c r="AW362" s="310" t="s">
        <v>5652</v>
      </c>
      <c r="AX362" s="310" t="s">
        <v>4650</v>
      </c>
      <c r="AY362" s="310">
        <v>70</v>
      </c>
      <c r="AZ362" s="310">
        <v>16</v>
      </c>
      <c r="BA362" s="310">
        <f t="shared" si="186"/>
        <v>157</v>
      </c>
      <c r="BB362" s="21">
        <v>90</v>
      </c>
      <c r="BC362" s="21">
        <v>90</v>
      </c>
      <c r="BD362" s="21">
        <v>100</v>
      </c>
      <c r="BE362" s="21">
        <v>120</v>
      </c>
      <c r="BF362" s="21">
        <v>0</v>
      </c>
      <c r="BG362" s="15" t="s">
        <v>4470</v>
      </c>
      <c r="BH362" s="310" t="s">
        <v>6204</v>
      </c>
      <c r="BI362" s="310" t="s">
        <v>6204</v>
      </c>
      <c r="BJ362" s="310">
        <v>2</v>
      </c>
      <c r="BK362" s="18">
        <v>6</v>
      </c>
      <c r="BL362" s="196" t="s">
        <v>5791</v>
      </c>
      <c r="BM362" s="197" t="s">
        <v>5791</v>
      </c>
      <c r="BN362" s="197" t="s">
        <v>5791</v>
      </c>
      <c r="BO362" s="197" t="s">
        <v>5791</v>
      </c>
      <c r="BP362" s="197" t="s">
        <v>5791</v>
      </c>
      <c r="BQ362" s="197" t="s">
        <v>5791</v>
      </c>
      <c r="BR362" s="197" t="s">
        <v>5791</v>
      </c>
      <c r="BS362" s="197" t="s">
        <v>5791</v>
      </c>
      <c r="BT362" s="196" t="s">
        <v>5791</v>
      </c>
      <c r="BU362" s="197" t="s">
        <v>5791</v>
      </c>
      <c r="BV362" s="197" t="s">
        <v>5791</v>
      </c>
      <c r="BW362" s="197" t="s">
        <v>5791</v>
      </c>
      <c r="BX362" s="197" t="s">
        <v>5791</v>
      </c>
      <c r="BY362" s="197" t="s">
        <v>5791</v>
      </c>
      <c r="BZ362" s="212" t="s">
        <v>5791</v>
      </c>
      <c r="CA362" s="196" t="s">
        <v>5791</v>
      </c>
      <c r="CB362" s="197" t="s">
        <v>5791</v>
      </c>
      <c r="CC362" s="197" t="s">
        <v>5791</v>
      </c>
      <c r="CD362" s="197" t="s">
        <v>5791</v>
      </c>
      <c r="CE362" s="197" t="s">
        <v>5791</v>
      </c>
      <c r="CF362" s="212" t="s">
        <v>5791</v>
      </c>
      <c r="CG362" s="301" t="s">
        <v>4747</v>
      </c>
      <c r="CH362" s="310">
        <v>345</v>
      </c>
      <c r="CI362" s="21">
        <v>477.1</v>
      </c>
      <c r="CJ362" s="310">
        <v>490</v>
      </c>
      <c r="CK362" s="21">
        <v>609.20000000000005</v>
      </c>
      <c r="CL362" s="68">
        <v>208750</v>
      </c>
      <c r="CM362" s="301" t="s">
        <v>4747</v>
      </c>
      <c r="CN362" s="310">
        <v>345</v>
      </c>
      <c r="CO362" s="21">
        <v>412.5</v>
      </c>
      <c r="CP362" s="310">
        <v>490</v>
      </c>
      <c r="CQ362" s="21">
        <v>592.54999999999995</v>
      </c>
      <c r="CR362" s="63">
        <v>202125</v>
      </c>
      <c r="CS362" s="301" t="s">
        <v>4747</v>
      </c>
      <c r="CT362" s="310">
        <v>345</v>
      </c>
      <c r="CU362" s="21">
        <v>399.2</v>
      </c>
      <c r="CV362" s="310">
        <v>490</v>
      </c>
      <c r="CW362" s="21">
        <v>562.79999999999995</v>
      </c>
      <c r="CX362" s="68">
        <v>197290</v>
      </c>
      <c r="CY362" s="91" t="s">
        <v>5794</v>
      </c>
      <c r="CZ362" s="21">
        <v>39.92</v>
      </c>
      <c r="DA362" s="60">
        <v>3</v>
      </c>
      <c r="DB362" s="68">
        <v>32700</v>
      </c>
      <c r="DC362" s="201" t="s">
        <v>5791</v>
      </c>
      <c r="DD362" s="202" t="s">
        <v>5791</v>
      </c>
      <c r="DE362" s="203" t="s">
        <v>5791</v>
      </c>
      <c r="DF362" s="274" t="s">
        <v>5791</v>
      </c>
      <c r="DG362" s="310">
        <v>8.8000000000000007</v>
      </c>
      <c r="DH362" s="310">
        <v>640</v>
      </c>
      <c r="DI362" s="32">
        <v>730</v>
      </c>
      <c r="DJ362" s="310">
        <v>800</v>
      </c>
      <c r="DK362" s="32">
        <v>940</v>
      </c>
      <c r="DL362" s="66">
        <v>200000</v>
      </c>
      <c r="DM362" s="29" t="s">
        <v>5649</v>
      </c>
      <c r="DN362" s="310" t="s">
        <v>4435</v>
      </c>
      <c r="DO362" s="306" t="s">
        <v>4565</v>
      </c>
    </row>
    <row r="363" spans="1:119">
      <c r="A363" s="301">
        <v>358</v>
      </c>
      <c r="B363" s="349"/>
      <c r="C363" s="349"/>
      <c r="D363" s="349"/>
      <c r="E363" s="349"/>
      <c r="F363" s="349"/>
      <c r="G363" s="349"/>
      <c r="H363" s="349"/>
      <c r="I363" s="349"/>
      <c r="J363" s="286" t="s">
        <v>5641</v>
      </c>
      <c r="K363" s="301" t="s">
        <v>4534</v>
      </c>
      <c r="L363" s="310" t="s">
        <v>6063</v>
      </c>
      <c r="M363" s="301" t="s">
        <v>4508</v>
      </c>
      <c r="N363" s="310" t="s">
        <v>4702</v>
      </c>
      <c r="O363" s="18" t="s">
        <v>4506</v>
      </c>
      <c r="P363" s="310" t="s">
        <v>4420</v>
      </c>
      <c r="Q363" s="310" t="s">
        <v>4470</v>
      </c>
      <c r="R363" s="310" t="s">
        <v>4420</v>
      </c>
      <c r="S363" s="310" t="s">
        <v>5791</v>
      </c>
      <c r="T363" s="59" t="s">
        <v>4420</v>
      </c>
      <c r="U363" s="59" t="s">
        <v>5791</v>
      </c>
      <c r="V363" s="59" t="s">
        <v>4420</v>
      </c>
      <c r="W363" s="59" t="s">
        <v>5791</v>
      </c>
      <c r="X363" s="310" t="s">
        <v>4420</v>
      </c>
      <c r="Y363" s="310" t="s">
        <v>5791</v>
      </c>
      <c r="Z363" s="310" t="s">
        <v>4558</v>
      </c>
      <c r="AA363" s="72">
        <v>6</v>
      </c>
      <c r="AB363" s="223">
        <v>0</v>
      </c>
      <c r="AC363" s="72">
        <v>1387</v>
      </c>
      <c r="AD363" s="310" t="s">
        <v>5501</v>
      </c>
      <c r="AE363" s="21">
        <f>INDEX('[2]Cross-Section Database'!$C$2:$V$2928,MATCH(AD363,'[2]Cross-Section Database'!$B$2:$B$2928,0),3)</f>
        <v>250</v>
      </c>
      <c r="AF363" s="21">
        <f>INDEX('[2]Cross-Section Database'!$C$2:$V$2928,MATCH(AD363,'[2]Cross-Section Database'!$B$2:$B$2928,0),4)</f>
        <v>250</v>
      </c>
      <c r="AG363" s="21">
        <f>INDEX('[2]Cross-Section Database'!$C$2:$V$2928,MATCH(AD363,'[2]Cross-Section Database'!$B$2:$B$2928,0),6)</f>
        <v>5</v>
      </c>
      <c r="AH363" s="21">
        <f>INDEX('[2]Cross-Section Database'!$C$2:$V$2928,MATCH(AD363,'[2]Cross-Section Database'!$B$2:$B$2928,0),5)</f>
        <v>5</v>
      </c>
      <c r="AI363" s="21">
        <v>1300</v>
      </c>
      <c r="AJ363" s="301" t="s">
        <v>5597</v>
      </c>
      <c r="AK363" s="21">
        <f>INDEX('[2]Cross-Section Database'!$C$2:$V$23928,MATCH(AJ363,'[2]Cross-Section Database'!$B$2:$B$3928,0),3)</f>
        <v>350</v>
      </c>
      <c r="AL363" s="21">
        <f>INDEX('[2]Cross-Section Database'!$C$2:$V$3928,MATCH(AJ363,'[2]Cross-Section Database'!$B$2:$B$3928,0),4)</f>
        <v>175</v>
      </c>
      <c r="AM363" s="21">
        <f>INDEX('[2]Cross-Section Database'!$C$2:$V$3928,MATCH(AJ363,'[2]Cross-Section Database'!$B$2:$B$3928,0),6)</f>
        <v>11</v>
      </c>
      <c r="AN363" s="21">
        <f>INDEX('[2]Cross-Section Database'!$C$2:$V$3928,MATCH(AJ363,'[2]Cross-Section Database'!$B$2:$B$3928,0),5)</f>
        <v>7</v>
      </c>
      <c r="AO363" s="21">
        <v>1200</v>
      </c>
      <c r="AP363" s="21">
        <f>INDEX('[2]Cross-Section Database'!$C$2:$V$3928,MATCH(AJ363,'[2]Cross-Section Database'!$B$2:$B$3928,0),11)</f>
        <v>131234688.66666663</v>
      </c>
      <c r="AQ363" s="24">
        <f>INDEX('[2]Cross-Section Database'!$C$2:$V$3928,MATCH(AJ363,'[2]Cross-Section Database'!$B$2:$B$3928,0),12)</f>
        <v>840847</v>
      </c>
      <c r="AR363" s="102">
        <v>12</v>
      </c>
      <c r="AS363" s="21">
        <v>200</v>
      </c>
      <c r="AT363" s="21">
        <v>380</v>
      </c>
      <c r="AU363" s="21">
        <v>15</v>
      </c>
      <c r="AV363" s="24">
        <v>15</v>
      </c>
      <c r="AW363" s="310" t="s">
        <v>5652</v>
      </c>
      <c r="AX363" s="310" t="s">
        <v>4650</v>
      </c>
      <c r="AY363" s="310">
        <v>70</v>
      </c>
      <c r="AZ363" s="310">
        <v>16</v>
      </c>
      <c r="BA363" s="310">
        <f t="shared" si="186"/>
        <v>157</v>
      </c>
      <c r="BB363" s="21">
        <v>90</v>
      </c>
      <c r="BC363" s="21">
        <v>90</v>
      </c>
      <c r="BD363" s="21">
        <v>100</v>
      </c>
      <c r="BE363" s="21">
        <v>120</v>
      </c>
      <c r="BF363" s="21">
        <v>0</v>
      </c>
      <c r="BG363" s="15" t="s">
        <v>4470</v>
      </c>
      <c r="BH363" s="310" t="s">
        <v>6204</v>
      </c>
      <c r="BI363" s="310" t="s">
        <v>6204</v>
      </c>
      <c r="BJ363" s="310">
        <v>2</v>
      </c>
      <c r="BK363" s="18">
        <v>6</v>
      </c>
      <c r="BL363" s="196" t="s">
        <v>5791</v>
      </c>
      <c r="BM363" s="197" t="s">
        <v>5791</v>
      </c>
      <c r="BN363" s="197" t="s">
        <v>5791</v>
      </c>
      <c r="BO363" s="197" t="s">
        <v>5791</v>
      </c>
      <c r="BP363" s="197" t="s">
        <v>5791</v>
      </c>
      <c r="BQ363" s="197" t="s">
        <v>5791</v>
      </c>
      <c r="BR363" s="197" t="s">
        <v>5791</v>
      </c>
      <c r="BS363" s="197" t="s">
        <v>5791</v>
      </c>
      <c r="BT363" s="196" t="s">
        <v>5791</v>
      </c>
      <c r="BU363" s="197" t="s">
        <v>5791</v>
      </c>
      <c r="BV363" s="197" t="s">
        <v>5791</v>
      </c>
      <c r="BW363" s="197" t="s">
        <v>5791</v>
      </c>
      <c r="BX363" s="197" t="s">
        <v>5791</v>
      </c>
      <c r="BY363" s="197" t="s">
        <v>5791</v>
      </c>
      <c r="BZ363" s="212" t="s">
        <v>5791</v>
      </c>
      <c r="CA363" s="196" t="s">
        <v>5791</v>
      </c>
      <c r="CB363" s="197" t="s">
        <v>5791</v>
      </c>
      <c r="CC363" s="197" t="s">
        <v>5791</v>
      </c>
      <c r="CD363" s="197" t="s">
        <v>5791</v>
      </c>
      <c r="CE363" s="197" t="s">
        <v>5791</v>
      </c>
      <c r="CF363" s="212" t="s">
        <v>5791</v>
      </c>
      <c r="CG363" s="301" t="s">
        <v>4747</v>
      </c>
      <c r="CH363" s="310">
        <v>345</v>
      </c>
      <c r="CI363" s="21">
        <v>477.1</v>
      </c>
      <c r="CJ363" s="310">
        <v>490</v>
      </c>
      <c r="CK363" s="21">
        <v>609.20000000000005</v>
      </c>
      <c r="CL363" s="68">
        <v>208750</v>
      </c>
      <c r="CM363" s="301" t="s">
        <v>4747</v>
      </c>
      <c r="CN363" s="310">
        <v>345</v>
      </c>
      <c r="CO363" s="21">
        <v>412.5</v>
      </c>
      <c r="CP363" s="310">
        <v>490</v>
      </c>
      <c r="CQ363" s="21">
        <v>592.54999999999995</v>
      </c>
      <c r="CR363" s="63">
        <v>202125</v>
      </c>
      <c r="CS363" s="301" t="s">
        <v>4747</v>
      </c>
      <c r="CT363" s="310">
        <v>345</v>
      </c>
      <c r="CU363" s="21">
        <v>399.2</v>
      </c>
      <c r="CV363" s="310">
        <v>490</v>
      </c>
      <c r="CW363" s="21">
        <v>562.79999999999995</v>
      </c>
      <c r="CX363" s="68">
        <v>197290</v>
      </c>
      <c r="CY363" s="91" t="s">
        <v>5794</v>
      </c>
      <c r="CZ363" s="21">
        <v>39.92</v>
      </c>
      <c r="DA363" s="60">
        <v>3</v>
      </c>
      <c r="DB363" s="68">
        <v>32700</v>
      </c>
      <c r="DC363" s="201" t="s">
        <v>5791</v>
      </c>
      <c r="DD363" s="202" t="s">
        <v>5791</v>
      </c>
      <c r="DE363" s="203" t="s">
        <v>5791</v>
      </c>
      <c r="DF363" s="274" t="s">
        <v>5791</v>
      </c>
      <c r="DG363" s="310">
        <v>8.8000000000000007</v>
      </c>
      <c r="DH363" s="310">
        <v>640</v>
      </c>
      <c r="DI363" s="32">
        <v>730</v>
      </c>
      <c r="DJ363" s="310">
        <v>800</v>
      </c>
      <c r="DK363" s="32">
        <v>940</v>
      </c>
      <c r="DL363" s="66">
        <v>200000</v>
      </c>
      <c r="DM363" s="29" t="s">
        <v>6030</v>
      </c>
      <c r="DN363" s="310" t="s">
        <v>4435</v>
      </c>
      <c r="DO363" s="306" t="s">
        <v>6013</v>
      </c>
    </row>
    <row r="364" spans="1:119">
      <c r="A364" s="301">
        <v>359</v>
      </c>
      <c r="B364" s="349"/>
      <c r="C364" s="349"/>
      <c r="D364" s="349"/>
      <c r="E364" s="349"/>
      <c r="F364" s="349"/>
      <c r="G364" s="349"/>
      <c r="H364" s="349"/>
      <c r="I364" s="349"/>
      <c r="J364" s="286" t="s">
        <v>5642</v>
      </c>
      <c r="K364" s="301" t="s">
        <v>4534</v>
      </c>
      <c r="L364" s="310" t="s">
        <v>6063</v>
      </c>
      <c r="M364" s="301" t="s">
        <v>4508</v>
      </c>
      <c r="N364" s="310" t="s">
        <v>4702</v>
      </c>
      <c r="O364" s="18" t="s">
        <v>4506</v>
      </c>
      <c r="P364" s="310" t="s">
        <v>4420</v>
      </c>
      <c r="Q364" s="310" t="s">
        <v>4470</v>
      </c>
      <c r="R364" s="310" t="s">
        <v>4420</v>
      </c>
      <c r="S364" s="310" t="s">
        <v>5791</v>
      </c>
      <c r="T364" s="59" t="s">
        <v>4420</v>
      </c>
      <c r="U364" s="59" t="s">
        <v>5791</v>
      </c>
      <c r="V364" s="59" t="s">
        <v>4420</v>
      </c>
      <c r="W364" s="59" t="s">
        <v>5791</v>
      </c>
      <c r="X364" s="310" t="s">
        <v>4420</v>
      </c>
      <c r="Y364" s="310" t="s">
        <v>5791</v>
      </c>
      <c r="Z364" s="310" t="s">
        <v>4558</v>
      </c>
      <c r="AA364" s="72">
        <v>6</v>
      </c>
      <c r="AB364" s="223">
        <v>0</v>
      </c>
      <c r="AC364" s="72">
        <v>1387</v>
      </c>
      <c r="AD364" s="310" t="s">
        <v>5501</v>
      </c>
      <c r="AE364" s="21">
        <f>INDEX('[2]Cross-Section Database'!$C$2:$V$2928,MATCH(AD364,'[2]Cross-Section Database'!$B$2:$B$2928,0),3)</f>
        <v>250</v>
      </c>
      <c r="AF364" s="21">
        <f>INDEX('[2]Cross-Section Database'!$C$2:$V$2928,MATCH(AD364,'[2]Cross-Section Database'!$B$2:$B$2928,0),4)</f>
        <v>250</v>
      </c>
      <c r="AG364" s="21">
        <f>INDEX('[2]Cross-Section Database'!$C$2:$V$2928,MATCH(AD364,'[2]Cross-Section Database'!$B$2:$B$2928,0),6)</f>
        <v>5</v>
      </c>
      <c r="AH364" s="21">
        <f>INDEX('[2]Cross-Section Database'!$C$2:$V$2928,MATCH(AD364,'[2]Cross-Section Database'!$B$2:$B$2928,0),5)</f>
        <v>5</v>
      </c>
      <c r="AI364" s="21">
        <v>1300</v>
      </c>
      <c r="AJ364" s="301" t="s">
        <v>5597</v>
      </c>
      <c r="AK364" s="21">
        <f>INDEX('[2]Cross-Section Database'!$C$2:$V$23928,MATCH(AJ364,'[2]Cross-Section Database'!$B$2:$B$3928,0),3)</f>
        <v>350</v>
      </c>
      <c r="AL364" s="21">
        <f>INDEX('[2]Cross-Section Database'!$C$2:$V$3928,MATCH(AJ364,'[2]Cross-Section Database'!$B$2:$B$3928,0),4)</f>
        <v>175</v>
      </c>
      <c r="AM364" s="21">
        <f>INDEX('[2]Cross-Section Database'!$C$2:$V$3928,MATCH(AJ364,'[2]Cross-Section Database'!$B$2:$B$3928,0),6)</f>
        <v>11</v>
      </c>
      <c r="AN364" s="21">
        <f>INDEX('[2]Cross-Section Database'!$C$2:$V$3928,MATCH(AJ364,'[2]Cross-Section Database'!$B$2:$B$3928,0),5)</f>
        <v>7</v>
      </c>
      <c r="AO364" s="21">
        <v>1200</v>
      </c>
      <c r="AP364" s="21">
        <f>INDEX('[2]Cross-Section Database'!$C$2:$V$3928,MATCH(AJ364,'[2]Cross-Section Database'!$B$2:$B$3928,0),11)</f>
        <v>131234688.66666663</v>
      </c>
      <c r="AQ364" s="24">
        <f>INDEX('[2]Cross-Section Database'!$C$2:$V$3928,MATCH(AJ364,'[2]Cross-Section Database'!$B$2:$B$3928,0),12)</f>
        <v>840847</v>
      </c>
      <c r="AR364" s="102">
        <v>24</v>
      </c>
      <c r="AS364" s="21">
        <v>200</v>
      </c>
      <c r="AT364" s="21">
        <v>380</v>
      </c>
      <c r="AU364" s="21">
        <v>15</v>
      </c>
      <c r="AV364" s="24">
        <v>15</v>
      </c>
      <c r="AW364" s="310" t="s">
        <v>5652</v>
      </c>
      <c r="AX364" s="310" t="s">
        <v>4650</v>
      </c>
      <c r="AY364" s="310">
        <v>70</v>
      </c>
      <c r="AZ364" s="310">
        <v>16</v>
      </c>
      <c r="BA364" s="310">
        <f t="shared" si="186"/>
        <v>157</v>
      </c>
      <c r="BB364" s="21">
        <v>90</v>
      </c>
      <c r="BC364" s="21">
        <v>90</v>
      </c>
      <c r="BD364" s="21">
        <v>100</v>
      </c>
      <c r="BE364" s="21">
        <v>120</v>
      </c>
      <c r="BF364" s="21">
        <v>0</v>
      </c>
      <c r="BG364" s="15" t="s">
        <v>4470</v>
      </c>
      <c r="BH364" s="310" t="s">
        <v>6204</v>
      </c>
      <c r="BI364" s="310" t="s">
        <v>6204</v>
      </c>
      <c r="BJ364" s="310">
        <v>2</v>
      </c>
      <c r="BK364" s="18">
        <v>6</v>
      </c>
      <c r="BL364" s="196" t="s">
        <v>5791</v>
      </c>
      <c r="BM364" s="197" t="s">
        <v>5791</v>
      </c>
      <c r="BN364" s="197" t="s">
        <v>5791</v>
      </c>
      <c r="BO364" s="197" t="s">
        <v>5791</v>
      </c>
      <c r="BP364" s="197" t="s">
        <v>5791</v>
      </c>
      <c r="BQ364" s="197" t="s">
        <v>5791</v>
      </c>
      <c r="BR364" s="197" t="s">
        <v>5791</v>
      </c>
      <c r="BS364" s="197" t="s">
        <v>5791</v>
      </c>
      <c r="BT364" s="196" t="s">
        <v>5791</v>
      </c>
      <c r="BU364" s="197" t="s">
        <v>5791</v>
      </c>
      <c r="BV364" s="197" t="s">
        <v>5791</v>
      </c>
      <c r="BW364" s="197" t="s">
        <v>5791</v>
      </c>
      <c r="BX364" s="197" t="s">
        <v>5791</v>
      </c>
      <c r="BY364" s="197" t="s">
        <v>5791</v>
      </c>
      <c r="BZ364" s="212" t="s">
        <v>5791</v>
      </c>
      <c r="CA364" s="196" t="s">
        <v>5791</v>
      </c>
      <c r="CB364" s="197" t="s">
        <v>5791</v>
      </c>
      <c r="CC364" s="197" t="s">
        <v>5791</v>
      </c>
      <c r="CD364" s="197" t="s">
        <v>5791</v>
      </c>
      <c r="CE364" s="197" t="s">
        <v>5791</v>
      </c>
      <c r="CF364" s="212" t="s">
        <v>5791</v>
      </c>
      <c r="CG364" s="301" t="s">
        <v>4747</v>
      </c>
      <c r="CH364" s="310">
        <v>345</v>
      </c>
      <c r="CI364" s="21">
        <v>477.1</v>
      </c>
      <c r="CJ364" s="310">
        <v>490</v>
      </c>
      <c r="CK364" s="21">
        <v>609.20000000000005</v>
      </c>
      <c r="CL364" s="68">
        <v>208750</v>
      </c>
      <c r="CM364" s="301" t="s">
        <v>4747</v>
      </c>
      <c r="CN364" s="310">
        <v>345</v>
      </c>
      <c r="CO364" s="21">
        <v>412.5</v>
      </c>
      <c r="CP364" s="310">
        <v>490</v>
      </c>
      <c r="CQ364" s="21">
        <v>592.54999999999995</v>
      </c>
      <c r="CR364" s="63">
        <v>202125</v>
      </c>
      <c r="CS364" s="301" t="s">
        <v>4747</v>
      </c>
      <c r="CT364" s="310">
        <v>345</v>
      </c>
      <c r="CU364" s="21">
        <v>399.2</v>
      </c>
      <c r="CV364" s="310">
        <v>490</v>
      </c>
      <c r="CW364" s="21">
        <v>562.79999999999995</v>
      </c>
      <c r="CX364" s="68">
        <v>197290</v>
      </c>
      <c r="CY364" s="301" t="s">
        <v>5794</v>
      </c>
      <c r="CZ364" s="21">
        <v>39.92</v>
      </c>
      <c r="DA364" s="60">
        <v>3</v>
      </c>
      <c r="DB364" s="68">
        <v>32700</v>
      </c>
      <c r="DC364" s="201" t="s">
        <v>5791</v>
      </c>
      <c r="DD364" s="202" t="s">
        <v>5791</v>
      </c>
      <c r="DE364" s="203" t="s">
        <v>5791</v>
      </c>
      <c r="DF364" s="274" t="s">
        <v>5791</v>
      </c>
      <c r="DG364" s="310">
        <v>8.8000000000000007</v>
      </c>
      <c r="DH364" s="310">
        <v>640</v>
      </c>
      <c r="DI364" s="32">
        <v>730</v>
      </c>
      <c r="DJ364" s="310">
        <v>800</v>
      </c>
      <c r="DK364" s="32">
        <v>940</v>
      </c>
      <c r="DL364" s="66">
        <v>200000</v>
      </c>
      <c r="DM364" s="29" t="s">
        <v>5648</v>
      </c>
      <c r="DN364" s="310" t="s">
        <v>4435</v>
      </c>
      <c r="DO364" s="306" t="s">
        <v>6013</v>
      </c>
    </row>
    <row r="365" spans="1:119">
      <c r="A365" s="301">
        <v>360</v>
      </c>
      <c r="B365" s="349"/>
      <c r="C365" s="349"/>
      <c r="D365" s="349"/>
      <c r="E365" s="349"/>
      <c r="F365" s="349"/>
      <c r="G365" s="349"/>
      <c r="H365" s="349"/>
      <c r="I365" s="349"/>
      <c r="J365" s="286" t="s">
        <v>5643</v>
      </c>
      <c r="K365" s="301" t="s">
        <v>4534</v>
      </c>
      <c r="L365" s="310" t="s">
        <v>6063</v>
      </c>
      <c r="M365" s="301" t="s">
        <v>4508</v>
      </c>
      <c r="N365" s="310" t="s">
        <v>4702</v>
      </c>
      <c r="O365" s="18" t="s">
        <v>4506</v>
      </c>
      <c r="P365" s="310" t="s">
        <v>4420</v>
      </c>
      <c r="Q365" s="310" t="s">
        <v>4470</v>
      </c>
      <c r="R365" s="310" t="s">
        <v>4420</v>
      </c>
      <c r="S365" s="310" t="s">
        <v>5791</v>
      </c>
      <c r="T365" s="59" t="s">
        <v>4420</v>
      </c>
      <c r="U365" s="59" t="s">
        <v>5791</v>
      </c>
      <c r="V365" s="59" t="s">
        <v>4420</v>
      </c>
      <c r="W365" s="59" t="s">
        <v>5791</v>
      </c>
      <c r="X365" s="310" t="s">
        <v>4420</v>
      </c>
      <c r="Y365" s="310" t="s">
        <v>5791</v>
      </c>
      <c r="Z365" s="310" t="s">
        <v>4558</v>
      </c>
      <c r="AA365" s="72">
        <v>6</v>
      </c>
      <c r="AB365" s="223">
        <v>0</v>
      </c>
      <c r="AC365" s="72">
        <v>1387</v>
      </c>
      <c r="AD365" s="310" t="s">
        <v>5501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1" t="s">
        <v>5597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0" t="s">
        <v>5670</v>
      </c>
      <c r="AX365" s="310" t="s">
        <v>4650</v>
      </c>
      <c r="AY365" s="310">
        <v>70</v>
      </c>
      <c r="AZ365" s="310">
        <v>16</v>
      </c>
      <c r="BA365" s="310">
        <f t="shared" si="186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4470</v>
      </c>
      <c r="BH365" s="310" t="s">
        <v>6204</v>
      </c>
      <c r="BI365" s="310" t="s">
        <v>6204</v>
      </c>
      <c r="BJ365" s="310">
        <v>2</v>
      </c>
      <c r="BK365" s="18">
        <v>6</v>
      </c>
      <c r="BL365" s="196" t="s">
        <v>5791</v>
      </c>
      <c r="BM365" s="197" t="s">
        <v>5791</v>
      </c>
      <c r="BN365" s="197" t="s">
        <v>5791</v>
      </c>
      <c r="BO365" s="197" t="s">
        <v>5791</v>
      </c>
      <c r="BP365" s="197" t="s">
        <v>5791</v>
      </c>
      <c r="BQ365" s="197" t="s">
        <v>5791</v>
      </c>
      <c r="BR365" s="197" t="s">
        <v>5791</v>
      </c>
      <c r="BS365" s="197" t="s">
        <v>5791</v>
      </c>
      <c r="BT365" s="196" t="s">
        <v>5791</v>
      </c>
      <c r="BU365" s="197" t="s">
        <v>5791</v>
      </c>
      <c r="BV365" s="197" t="s">
        <v>5791</v>
      </c>
      <c r="BW365" s="197" t="s">
        <v>5791</v>
      </c>
      <c r="BX365" s="197" t="s">
        <v>5791</v>
      </c>
      <c r="BY365" s="197" t="s">
        <v>5791</v>
      </c>
      <c r="BZ365" s="212" t="s">
        <v>5791</v>
      </c>
      <c r="CA365" s="196" t="s">
        <v>5791</v>
      </c>
      <c r="CB365" s="197" t="s">
        <v>5791</v>
      </c>
      <c r="CC365" s="197" t="s">
        <v>5791</v>
      </c>
      <c r="CD365" s="197" t="s">
        <v>5791</v>
      </c>
      <c r="CE365" s="197" t="s">
        <v>5791</v>
      </c>
      <c r="CF365" s="212" t="s">
        <v>5791</v>
      </c>
      <c r="CG365" s="301" t="s">
        <v>4747</v>
      </c>
      <c r="CH365" s="310">
        <v>345</v>
      </c>
      <c r="CI365" s="21">
        <v>477.1</v>
      </c>
      <c r="CJ365" s="310">
        <v>490</v>
      </c>
      <c r="CK365" s="21">
        <v>609.20000000000005</v>
      </c>
      <c r="CL365" s="68">
        <v>208750</v>
      </c>
      <c r="CM365" s="301" t="s">
        <v>4747</v>
      </c>
      <c r="CN365" s="310">
        <v>345</v>
      </c>
      <c r="CO365" s="21">
        <v>412.5</v>
      </c>
      <c r="CP365" s="310">
        <v>490</v>
      </c>
      <c r="CQ365" s="21">
        <v>592.54999999999995</v>
      </c>
      <c r="CR365" s="63">
        <v>202125</v>
      </c>
      <c r="CS365" s="301" t="s">
        <v>4747</v>
      </c>
      <c r="CT365" s="310">
        <v>345</v>
      </c>
      <c r="CU365" s="21">
        <v>399.2</v>
      </c>
      <c r="CV365" s="310">
        <v>490</v>
      </c>
      <c r="CW365" s="21">
        <v>562.79999999999995</v>
      </c>
      <c r="CX365" s="68">
        <v>197290</v>
      </c>
      <c r="CY365" s="301" t="s">
        <v>5794</v>
      </c>
      <c r="CZ365" s="21">
        <v>39.92</v>
      </c>
      <c r="DA365" s="60">
        <v>3</v>
      </c>
      <c r="DB365" s="68">
        <v>32700</v>
      </c>
      <c r="DC365" s="201" t="s">
        <v>5791</v>
      </c>
      <c r="DD365" s="202" t="s">
        <v>5791</v>
      </c>
      <c r="DE365" s="203" t="s">
        <v>5791</v>
      </c>
      <c r="DF365" s="274" t="s">
        <v>5791</v>
      </c>
      <c r="DG365" s="310">
        <v>8.8000000000000007</v>
      </c>
      <c r="DH365" s="310">
        <v>640</v>
      </c>
      <c r="DI365" s="32">
        <v>730</v>
      </c>
      <c r="DJ365" s="310">
        <v>800</v>
      </c>
      <c r="DK365" s="32">
        <v>940</v>
      </c>
      <c r="DL365" s="66">
        <v>200000</v>
      </c>
      <c r="DM365" s="29" t="s">
        <v>5648</v>
      </c>
      <c r="DN365" s="310" t="s">
        <v>4435</v>
      </c>
      <c r="DO365" s="306" t="s">
        <v>6013</v>
      </c>
    </row>
    <row r="366" spans="1:119" ht="16.2" thickBot="1">
      <c r="A366" s="308">
        <v>361</v>
      </c>
      <c r="B366" s="350"/>
      <c r="C366" s="350"/>
      <c r="D366" s="350"/>
      <c r="E366" s="350"/>
      <c r="F366" s="350"/>
      <c r="G366" s="350"/>
      <c r="H366" s="350"/>
      <c r="I366" s="350"/>
      <c r="J366" s="285" t="s">
        <v>5644</v>
      </c>
      <c r="K366" s="308" t="s">
        <v>4534</v>
      </c>
      <c r="L366" s="311" t="s">
        <v>6063</v>
      </c>
      <c r="M366" s="308" t="s">
        <v>4508</v>
      </c>
      <c r="N366" s="311" t="s">
        <v>4702</v>
      </c>
      <c r="O366" s="14" t="s">
        <v>4506</v>
      </c>
      <c r="P366" s="311" t="s">
        <v>4420</v>
      </c>
      <c r="Q366" s="311" t="s">
        <v>4470</v>
      </c>
      <c r="R366" s="311" t="s">
        <v>4420</v>
      </c>
      <c r="S366" s="311" t="s">
        <v>5791</v>
      </c>
      <c r="T366" s="86" t="s">
        <v>4420</v>
      </c>
      <c r="U366" s="86" t="s">
        <v>5791</v>
      </c>
      <c r="V366" s="86" t="s">
        <v>4420</v>
      </c>
      <c r="W366" s="86" t="s">
        <v>5791</v>
      </c>
      <c r="X366" s="311" t="s">
        <v>4420</v>
      </c>
      <c r="Y366" s="311" t="s">
        <v>5791</v>
      </c>
      <c r="Z366" s="311" t="s">
        <v>4558</v>
      </c>
      <c r="AA366" s="117">
        <v>6</v>
      </c>
      <c r="AB366" s="228">
        <v>0</v>
      </c>
      <c r="AC366" s="117">
        <v>1387</v>
      </c>
      <c r="AD366" s="311" t="s">
        <v>5501</v>
      </c>
      <c r="AE366" s="23">
        <f>INDEX('[2]Cross-Section Database'!$C$2:$V$2928,MATCH(AD366,'[2]Cross-Section Database'!$B$2:$B$2928,0),3)</f>
        <v>250</v>
      </c>
      <c r="AF366" s="23">
        <f>INDEX('[2]Cross-Section Database'!$C$2:$V$2928,MATCH(AD366,'[2]Cross-Section Database'!$B$2:$B$2928,0),4)</f>
        <v>250</v>
      </c>
      <c r="AG366" s="23">
        <f>INDEX('[2]Cross-Section Database'!$C$2:$V$2928,MATCH(AD366,'[2]Cross-Section Database'!$B$2:$B$2928,0),6)</f>
        <v>5</v>
      </c>
      <c r="AH366" s="23">
        <f>INDEX('[2]Cross-Section Database'!$C$2:$V$2928,MATCH(AD366,'[2]Cross-Section Database'!$B$2:$B$2928,0),5)</f>
        <v>5</v>
      </c>
      <c r="AI366" s="23">
        <v>1300</v>
      </c>
      <c r="AJ366" s="308" t="s">
        <v>5595</v>
      </c>
      <c r="AK366" s="23">
        <f>INDEX('[2]Cross-Section Database'!$C$2:$V$23928,MATCH(AJ366,'[2]Cross-Section Database'!$B$2:$B$3928,0),3)</f>
        <v>300</v>
      </c>
      <c r="AL366" s="23">
        <f>INDEX('[2]Cross-Section Database'!$C$2:$V$3928,MATCH(AJ366,'[2]Cross-Section Database'!$B$2:$B$3928,0),4)</f>
        <v>150</v>
      </c>
      <c r="AM366" s="23">
        <f>INDEX('[2]Cross-Section Database'!$C$2:$V$3928,MATCH(AJ366,'[2]Cross-Section Database'!$B$2:$B$3928,0),6)</f>
        <v>9</v>
      </c>
      <c r="AN366" s="23">
        <f>INDEX('[2]Cross-Section Database'!$C$2:$V$3928,MATCH(AJ366,'[2]Cross-Section Database'!$B$2:$B$3928,0),5)</f>
        <v>6.5</v>
      </c>
      <c r="AO366" s="23">
        <v>1200</v>
      </c>
      <c r="AP366" s="23">
        <f>INDEX('[2]Cross-Section Database'!$C$2:$V$3928,MATCH(AJ366,'[2]Cross-Section Database'!$B$2:$B$3928,0),11)</f>
        <v>69325191</v>
      </c>
      <c r="AQ366" s="25">
        <f>INDEX('[2]Cross-Section Database'!$C$2:$V$3928,MATCH(AJ366,'[2]Cross-Section Database'!$B$2:$B$3928,0),12)</f>
        <v>522076.5</v>
      </c>
      <c r="AR366" s="103">
        <v>24</v>
      </c>
      <c r="AS366" s="23">
        <v>200</v>
      </c>
      <c r="AT366" s="23">
        <v>330</v>
      </c>
      <c r="AU366" s="23">
        <v>15</v>
      </c>
      <c r="AV366" s="25">
        <v>15</v>
      </c>
      <c r="AW366" s="311" t="s">
        <v>5652</v>
      </c>
      <c r="AX366" s="311" t="s">
        <v>4650</v>
      </c>
      <c r="AY366" s="311">
        <v>70</v>
      </c>
      <c r="AZ366" s="311">
        <v>16</v>
      </c>
      <c r="BA366" s="311">
        <f t="shared" si="186"/>
        <v>157</v>
      </c>
      <c r="BB366" s="23">
        <v>65</v>
      </c>
      <c r="BC366" s="23">
        <v>65</v>
      </c>
      <c r="BD366" s="23">
        <v>100</v>
      </c>
      <c r="BE366" s="23">
        <v>120</v>
      </c>
      <c r="BF366" s="23">
        <v>0</v>
      </c>
      <c r="BG366" s="19" t="s">
        <v>4470</v>
      </c>
      <c r="BH366" s="311" t="s">
        <v>6204</v>
      </c>
      <c r="BI366" s="311" t="s">
        <v>6204</v>
      </c>
      <c r="BJ366" s="311">
        <v>2</v>
      </c>
      <c r="BK366" s="14">
        <v>6</v>
      </c>
      <c r="BL366" s="191" t="s">
        <v>5791</v>
      </c>
      <c r="BM366" s="192" t="s">
        <v>5791</v>
      </c>
      <c r="BN366" s="192" t="s">
        <v>5791</v>
      </c>
      <c r="BO366" s="192" t="s">
        <v>5791</v>
      </c>
      <c r="BP366" s="192" t="s">
        <v>5791</v>
      </c>
      <c r="BQ366" s="192" t="s">
        <v>5791</v>
      </c>
      <c r="BR366" s="192" t="s">
        <v>5791</v>
      </c>
      <c r="BS366" s="192" t="s">
        <v>5791</v>
      </c>
      <c r="BT366" s="191" t="s">
        <v>5791</v>
      </c>
      <c r="BU366" s="192" t="s">
        <v>5791</v>
      </c>
      <c r="BV366" s="192" t="s">
        <v>5791</v>
      </c>
      <c r="BW366" s="192" t="s">
        <v>5791</v>
      </c>
      <c r="BX366" s="192" t="s">
        <v>5791</v>
      </c>
      <c r="BY366" s="192" t="s">
        <v>5791</v>
      </c>
      <c r="BZ366" s="214" t="s">
        <v>5791</v>
      </c>
      <c r="CA366" s="191" t="s">
        <v>5791</v>
      </c>
      <c r="CB366" s="192" t="s">
        <v>5791</v>
      </c>
      <c r="CC366" s="192" t="s">
        <v>5791</v>
      </c>
      <c r="CD366" s="192" t="s">
        <v>5791</v>
      </c>
      <c r="CE366" s="192" t="s">
        <v>5791</v>
      </c>
      <c r="CF366" s="214" t="s">
        <v>5791</v>
      </c>
      <c r="CG366" s="308" t="s">
        <v>4747</v>
      </c>
      <c r="CH366" s="311">
        <v>345</v>
      </c>
      <c r="CI366" s="23">
        <v>477.1</v>
      </c>
      <c r="CJ366" s="311">
        <v>490</v>
      </c>
      <c r="CK366" s="23">
        <v>609.20000000000005</v>
      </c>
      <c r="CL366" s="82">
        <v>208750</v>
      </c>
      <c r="CM366" s="308" t="s">
        <v>5650</v>
      </c>
      <c r="CN366" s="311">
        <v>235</v>
      </c>
      <c r="CO366" s="23">
        <v>261.89999999999998</v>
      </c>
      <c r="CP366" s="311">
        <v>370</v>
      </c>
      <c r="CQ366" s="23">
        <v>401.35</v>
      </c>
      <c r="CR366" s="83">
        <v>194730</v>
      </c>
      <c r="CS366" s="308" t="s">
        <v>4747</v>
      </c>
      <c r="CT366" s="311">
        <v>345</v>
      </c>
      <c r="CU366" s="23">
        <v>408.5</v>
      </c>
      <c r="CV366" s="311">
        <v>490</v>
      </c>
      <c r="CW366" s="23">
        <v>534.5</v>
      </c>
      <c r="CX366" s="82">
        <v>198260</v>
      </c>
      <c r="CY366" s="308" t="s">
        <v>5794</v>
      </c>
      <c r="CZ366" s="23">
        <v>39.92</v>
      </c>
      <c r="DA366" s="76">
        <v>3</v>
      </c>
      <c r="DB366" s="82">
        <v>32700</v>
      </c>
      <c r="DC366" s="204" t="s">
        <v>5791</v>
      </c>
      <c r="DD366" s="205" t="s">
        <v>5791</v>
      </c>
      <c r="DE366" s="206" t="s">
        <v>5791</v>
      </c>
      <c r="DF366" s="275" t="s">
        <v>5791</v>
      </c>
      <c r="DG366" s="311">
        <v>8.8000000000000007</v>
      </c>
      <c r="DH366" s="311">
        <v>640</v>
      </c>
      <c r="DI366" s="34">
        <v>730</v>
      </c>
      <c r="DJ366" s="311">
        <v>800</v>
      </c>
      <c r="DK366" s="34">
        <v>940</v>
      </c>
      <c r="DL366" s="76">
        <v>200000</v>
      </c>
      <c r="DM366" s="27" t="s">
        <v>5647</v>
      </c>
      <c r="DN366" s="308" t="s">
        <v>4435</v>
      </c>
      <c r="DO366" s="307" t="s">
        <v>6013</v>
      </c>
    </row>
  </sheetData>
  <sheetProtection algorithmName="SHA-512" hashValue="NZNZOLjMRnZ4bOPIjvc7kQJ3KF74rQyELrKBog2bNC/hmvQgAL8b1o3otvzIaK5S7X7UxnwgHyxPBkpAPlJdvw==" saltValue="WUsSrm1MR9C6W+f2DpACkw==" spinCount="100000" sheet="1" objects="1" scenarios="1"/>
  <mergeCells count="575"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DH4:DH5"/>
    <mergeCell ref="DA4:DA5"/>
    <mergeCell ref="BX4:BX5"/>
    <mergeCell ref="BY4:BY5"/>
    <mergeCell ref="P4:P5"/>
    <mergeCell ref="Q4:Q5"/>
    <mergeCell ref="S4:S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T4:T5"/>
    <mergeCell ref="U4:U5"/>
    <mergeCell ref="I109:I114"/>
    <mergeCell ref="I6:I29"/>
    <mergeCell ref="I30:I35"/>
    <mergeCell ref="I36:I47"/>
    <mergeCell ref="L4:L5"/>
    <mergeCell ref="M4:M5"/>
    <mergeCell ref="N4:N5"/>
    <mergeCell ref="O4:O5"/>
    <mergeCell ref="I115:I118"/>
    <mergeCell ref="I119:I121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C6:C29"/>
    <mergeCell ref="D6:D29"/>
    <mergeCell ref="E6:E29"/>
    <mergeCell ref="F6:F29"/>
    <mergeCell ref="H6:H29"/>
    <mergeCell ref="C48:C52"/>
    <mergeCell ref="D48:D52"/>
    <mergeCell ref="E48:E52"/>
    <mergeCell ref="F48:F52"/>
    <mergeCell ref="H48:H52"/>
    <mergeCell ref="C54:C76"/>
    <mergeCell ref="B156:B159"/>
    <mergeCell ref="B160:B165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V4:V5"/>
    <mergeCell ref="W4:W5"/>
    <mergeCell ref="X4:X5"/>
    <mergeCell ref="AM4:AM5"/>
    <mergeCell ref="AE4:AE5"/>
    <mergeCell ref="AF4:AF5"/>
    <mergeCell ref="AG4:AG5"/>
    <mergeCell ref="Z4:Z5"/>
    <mergeCell ref="AA4:AA5"/>
    <mergeCell ref="AB4:AB5"/>
    <mergeCell ref="AC4:AC5"/>
    <mergeCell ref="AD4:AD5"/>
    <mergeCell ref="Y4:Y5"/>
    <mergeCell ref="AH4:AH5"/>
    <mergeCell ref="AI4:AI5"/>
    <mergeCell ref="AJ4:AJ5"/>
    <mergeCell ref="AK4:AK5"/>
    <mergeCell ref="AL4:AL5"/>
    <mergeCell ref="BE4:BE5"/>
    <mergeCell ref="AS4:AS5"/>
    <mergeCell ref="AT4:AT5"/>
    <mergeCell ref="AU4:AU5"/>
    <mergeCell ref="AV4:AV5"/>
    <mergeCell ref="AW4:AW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AZ4:AZ5"/>
    <mergeCell ref="BA4:BA5"/>
    <mergeCell ref="AX4:AX5"/>
    <mergeCell ref="DC4:DC5"/>
    <mergeCell ref="DD4:DD5"/>
    <mergeCell ref="DE4:DE5"/>
    <mergeCell ref="DF4:DF5"/>
    <mergeCell ref="CS4:CS5"/>
    <mergeCell ref="DG4:DG5"/>
    <mergeCell ref="CZ4:CZ5"/>
    <mergeCell ref="DB4:DB5"/>
    <mergeCell ref="CY4:CY5"/>
    <mergeCell ref="BS4:BS5"/>
    <mergeCell ref="BU4:BU5"/>
    <mergeCell ref="BV4:BV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T4:BT5"/>
    <mergeCell ref="BJ4:BJ5"/>
    <mergeCell ref="CH4:CH5"/>
    <mergeCell ref="CI4:CI5"/>
    <mergeCell ref="CJ4:CJ5"/>
    <mergeCell ref="H87:H100"/>
    <mergeCell ref="H81:H86"/>
    <mergeCell ref="C101:C108"/>
    <mergeCell ref="D101:D108"/>
    <mergeCell ref="E101:E108"/>
    <mergeCell ref="F101:F108"/>
    <mergeCell ref="H101:H108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G6:G29"/>
    <mergeCell ref="G30:G35"/>
    <mergeCell ref="G36:G47"/>
    <mergeCell ref="G48:G52"/>
    <mergeCell ref="G54:G76"/>
    <mergeCell ref="G77:G80"/>
    <mergeCell ref="G81:G86"/>
    <mergeCell ref="G87:G100"/>
    <mergeCell ref="C81:C86"/>
    <mergeCell ref="D81:D86"/>
    <mergeCell ref="E81:E86"/>
    <mergeCell ref="F81:F86"/>
    <mergeCell ref="C87:C100"/>
    <mergeCell ref="D87:D100"/>
    <mergeCell ref="E87:E100"/>
    <mergeCell ref="F87:F100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</mergeCells>
  <conditionalFormatting sqref="AW182:AY183">
    <cfRule type="uniqueValues" dxfId="89" priority="90"/>
  </conditionalFormatting>
  <conditionalFormatting sqref="AW191:AW192">
    <cfRule type="uniqueValues" dxfId="88" priority="89"/>
  </conditionalFormatting>
  <conditionalFormatting sqref="Y6:Y165 S160:W165 Y169 S169:W169 L260:L270 Y356:Y366 L356:L366 S356:W366 S172:W270 L275:L351 S275:W351 Y172:Y351">
    <cfRule type="cellIs" dxfId="87" priority="88" operator="equal">
      <formula>"NA"</formula>
    </cfRule>
  </conditionalFormatting>
  <conditionalFormatting sqref="S6:W159">
    <cfRule type="cellIs" dxfId="86" priority="87" operator="equal">
      <formula>"NA"</formula>
    </cfRule>
  </conditionalFormatting>
  <conditionalFormatting sqref="S271:W274">
    <cfRule type="cellIs" dxfId="85" priority="86" operator="equal">
      <formula>"NA"</formula>
    </cfRule>
  </conditionalFormatting>
  <conditionalFormatting sqref="Y166:Y167">
    <cfRule type="cellIs" dxfId="84" priority="85" operator="equal">
      <formula>"NA"</formula>
    </cfRule>
  </conditionalFormatting>
  <conditionalFormatting sqref="S166:W167">
    <cfRule type="cellIs" dxfId="83" priority="84" operator="equal">
      <formula>"NA"</formula>
    </cfRule>
  </conditionalFormatting>
  <conditionalFormatting sqref="Y168">
    <cfRule type="cellIs" dxfId="82" priority="83" operator="equal">
      <formula>"NA"</formula>
    </cfRule>
  </conditionalFormatting>
  <conditionalFormatting sqref="S168:W168">
    <cfRule type="cellIs" dxfId="81" priority="82" operator="equal">
      <formula>"NA"</formula>
    </cfRule>
  </conditionalFormatting>
  <conditionalFormatting sqref="L160:L165 L169 L172:L259">
    <cfRule type="cellIs" dxfId="80" priority="81" operator="equal">
      <formula>"NA"</formula>
    </cfRule>
  </conditionalFormatting>
  <conditionalFormatting sqref="L6:L159">
    <cfRule type="cellIs" dxfId="79" priority="80" operator="equal">
      <formula>"NA"</formula>
    </cfRule>
  </conditionalFormatting>
  <conditionalFormatting sqref="L271:L274">
    <cfRule type="cellIs" dxfId="78" priority="79" operator="equal">
      <formula>"NA"</formula>
    </cfRule>
  </conditionalFormatting>
  <conditionalFormatting sqref="L166:L167">
    <cfRule type="cellIs" dxfId="77" priority="78" operator="equal">
      <formula>"NA"</formula>
    </cfRule>
  </conditionalFormatting>
  <conditionalFormatting sqref="L168">
    <cfRule type="cellIs" dxfId="76" priority="77" operator="equal">
      <formula>"NA"</formula>
    </cfRule>
  </conditionalFormatting>
  <conditionalFormatting sqref="CE161:DE165 CD4:DE160 BW161:CA165 BW166:CB169 BW4:CB160 BR4:BU169 BJ5:BN5 BL361:BN363 A1:DO3 J4:S5 J361:BF363 J364:BN366 DG4:DO169 J352:K355 AR352:AR355 AS352:AV354 AT355:AV355 BD352:BG355 DG354:DL355 DG356:DO366 J356:BN360 CD356:DE366 B356:H366 BR356:BU366 BW356:CB366 J6:BN169 BR172:BU304 BW172:CB304 J170:J171 J172:BN172 B170:I170 A4:H165 B166:H169 CD166:DE169 CD172:CH172 CJ172 CL172 CY172:DE172 B173:BN304 B310:BN351 J306:J309 B305:J305 BW310:CB351 BR310:BU351 CD173:DE304 CD310:DE351 CG305:DE309 DG172:DO351 K305:BK309 X5:BG5 X4:BN4">
    <cfRule type="cellIs" dxfId="75" priority="76" operator="equal">
      <formula>"NA"</formula>
    </cfRule>
  </conditionalFormatting>
  <conditionalFormatting sqref="CB161:CB165 CD161:CD165">
    <cfRule type="cellIs" dxfId="74" priority="75" operator="equal">
      <formula>"NA"</formula>
    </cfRule>
  </conditionalFormatting>
  <conditionalFormatting sqref="CC4:CC160 CC166:CC169 CC356:CC366 CC172:CC304 CC310:CC351">
    <cfRule type="cellIs" dxfId="73" priority="74" operator="equal">
      <formula>"NA"</formula>
    </cfRule>
  </conditionalFormatting>
  <conditionalFormatting sqref="CC161:CC165">
    <cfRule type="cellIs" dxfId="72" priority="73" operator="equal">
      <formula>"NA"</formula>
    </cfRule>
  </conditionalFormatting>
  <conditionalFormatting sqref="BO4:BQ169 BO356:BQ366 BO172:BQ304 BO310:BQ351">
    <cfRule type="cellIs" dxfId="71" priority="72" operator="equal">
      <formula>"NA"</formula>
    </cfRule>
  </conditionalFormatting>
  <conditionalFormatting sqref="BV4:BV169 BV356:BV366 BV172:BV304 BV310:BV351">
    <cfRule type="cellIs" dxfId="70" priority="71" operator="equal">
      <formula>"NA"</formula>
    </cfRule>
  </conditionalFormatting>
  <conditionalFormatting sqref="DF4:DF5">
    <cfRule type="cellIs" dxfId="69" priority="70" operator="equal">
      <formula>"NA"</formula>
    </cfRule>
  </conditionalFormatting>
  <conditionalFormatting sqref="DF6:DF169 DF356:DF366 DF172:DF351">
    <cfRule type="cellIs" dxfId="68" priority="69" operator="equal">
      <formula>"NA"</formula>
    </cfRule>
  </conditionalFormatting>
  <conditionalFormatting sqref="I4:I5">
    <cfRule type="cellIs" dxfId="67" priority="68" operator="equal">
      <formula>"NA"</formula>
    </cfRule>
  </conditionalFormatting>
  <conditionalFormatting sqref="I6:I169 I356:I366">
    <cfRule type="cellIs" dxfId="66" priority="67" operator="equal">
      <formula>"NA"</formula>
    </cfRule>
  </conditionalFormatting>
  <conditionalFormatting sqref="B352:H355">
    <cfRule type="cellIs" dxfId="65" priority="66" operator="equal">
      <formula>"NA"</formula>
    </cfRule>
  </conditionalFormatting>
  <conditionalFormatting sqref="I352:I355">
    <cfRule type="cellIs" dxfId="64" priority="65" operator="equal">
      <formula>"NA"</formula>
    </cfRule>
  </conditionalFormatting>
  <conditionalFormatting sqref="M352:O355">
    <cfRule type="cellIs" dxfId="63" priority="64" operator="equal">
      <formula>"NA"</formula>
    </cfRule>
  </conditionalFormatting>
  <conditionalFormatting sqref="L352:L353">
    <cfRule type="cellIs" dxfId="62" priority="63" operator="equal">
      <formula>"NA"</formula>
    </cfRule>
  </conditionalFormatting>
  <conditionalFormatting sqref="L352:L353">
    <cfRule type="cellIs" dxfId="61" priority="62" operator="equal">
      <formula>"NA"</formula>
    </cfRule>
  </conditionalFormatting>
  <conditionalFormatting sqref="L354">
    <cfRule type="cellIs" dxfId="60" priority="61" operator="equal">
      <formula>"NA"</formula>
    </cfRule>
  </conditionalFormatting>
  <conditionalFormatting sqref="L354">
    <cfRule type="cellIs" dxfId="59" priority="60" operator="equal">
      <formula>"NA"</formula>
    </cfRule>
  </conditionalFormatting>
  <conditionalFormatting sqref="L355">
    <cfRule type="cellIs" dxfId="58" priority="59" operator="equal">
      <formula>"NA"</formula>
    </cfRule>
  </conditionalFormatting>
  <conditionalFormatting sqref="L355">
    <cfRule type="cellIs" dxfId="57" priority="58" operator="equal">
      <formula>"NA"</formula>
    </cfRule>
  </conditionalFormatting>
  <conditionalFormatting sqref="S352:W355 Y352:Y355">
    <cfRule type="cellIs" dxfId="56" priority="57" operator="equal">
      <formula>"NA"</formula>
    </cfRule>
  </conditionalFormatting>
  <conditionalFormatting sqref="P352:Y355">
    <cfRule type="cellIs" dxfId="55" priority="56" operator="equal">
      <formula>"NA"</formula>
    </cfRule>
  </conditionalFormatting>
  <conditionalFormatting sqref="AD352:AI355">
    <cfRule type="cellIs" dxfId="54" priority="55" operator="equal">
      <formula>"NA"</formula>
    </cfRule>
  </conditionalFormatting>
  <conditionalFormatting sqref="BH353:BK355">
    <cfRule type="cellIs" dxfId="53" priority="54" operator="equal">
      <formula>"NA"</formula>
    </cfRule>
  </conditionalFormatting>
  <conditionalFormatting sqref="BH352:BK352">
    <cfRule type="cellIs" dxfId="52" priority="53" operator="equal">
      <formula>"NA"</formula>
    </cfRule>
  </conditionalFormatting>
  <conditionalFormatting sqref="BW352:CB355 BR352:BU355 CD352:CF355 BL352:BN355">
    <cfRule type="cellIs" dxfId="51" priority="52" operator="equal">
      <formula>"NA"</formula>
    </cfRule>
  </conditionalFormatting>
  <conditionalFormatting sqref="CC352:CC355">
    <cfRule type="cellIs" dxfId="50" priority="51" operator="equal">
      <formula>"NA"</formula>
    </cfRule>
  </conditionalFormatting>
  <conditionalFormatting sqref="BO352:BQ355">
    <cfRule type="cellIs" dxfId="49" priority="50" operator="equal">
      <formula>"NA"</formula>
    </cfRule>
  </conditionalFormatting>
  <conditionalFormatting sqref="BV352:BV355">
    <cfRule type="cellIs" dxfId="48" priority="49" operator="equal">
      <formula>"NA"</formula>
    </cfRule>
  </conditionalFormatting>
  <conditionalFormatting sqref="BG362:BK363">
    <cfRule type="cellIs" dxfId="47" priority="48" operator="equal">
      <formula>"NA"</formula>
    </cfRule>
  </conditionalFormatting>
  <conditionalFormatting sqref="BG361:BK361">
    <cfRule type="cellIs" dxfId="46" priority="47" operator="equal">
      <formula>"NA"</formula>
    </cfRule>
  </conditionalFormatting>
  <conditionalFormatting sqref="CG352:CL355">
    <cfRule type="cellIs" dxfId="45" priority="46" operator="equal">
      <formula>"NA"</formula>
    </cfRule>
  </conditionalFormatting>
  <conditionalFormatting sqref="CM352:CR355">
    <cfRule type="cellIs" dxfId="44" priority="45" operator="equal">
      <formula>"NA"</formula>
    </cfRule>
  </conditionalFormatting>
  <conditionalFormatting sqref="CS352:CX355">
    <cfRule type="cellIs" dxfId="43" priority="44" operator="equal">
      <formula>"NA"</formula>
    </cfRule>
  </conditionalFormatting>
  <conditionalFormatting sqref="CY352:DE355">
    <cfRule type="cellIs" dxfId="42" priority="43" operator="equal">
      <formula>"NA"</formula>
    </cfRule>
  </conditionalFormatting>
  <conditionalFormatting sqref="DF352:DF355">
    <cfRule type="cellIs" dxfId="41" priority="42" operator="equal">
      <formula>"NA"</formula>
    </cfRule>
  </conditionalFormatting>
  <conditionalFormatting sqref="DG352:DL353">
    <cfRule type="cellIs" dxfId="40" priority="41" operator="equal">
      <formula>"NA"</formula>
    </cfRule>
  </conditionalFormatting>
  <conditionalFormatting sqref="DM352:DO355">
    <cfRule type="cellIs" dxfId="39" priority="40" operator="equal">
      <formula>"NA"</formula>
    </cfRule>
  </conditionalFormatting>
  <conditionalFormatting sqref="AX353:AY355 AX352">
    <cfRule type="cellIs" dxfId="38" priority="39" operator="equal">
      <formula>"NA"</formula>
    </cfRule>
  </conditionalFormatting>
  <conditionalFormatting sqref="AY352">
    <cfRule type="cellIs" dxfId="37" priority="38" operator="equal">
      <formula>"NA"</formula>
    </cfRule>
  </conditionalFormatting>
  <conditionalFormatting sqref="CS172:CT172 CV172 CX172">
    <cfRule type="cellIs" dxfId="36" priority="16" operator="equal">
      <formula>"NA"</formula>
    </cfRule>
  </conditionalFormatting>
  <conditionalFormatting sqref="CS170:CT171">
    <cfRule type="cellIs" dxfId="35" priority="15" operator="equal">
      <formula>"NA"</formula>
    </cfRule>
  </conditionalFormatting>
  <conditionalFormatting sqref="CX170:CX171">
    <cfRule type="cellIs" dxfId="34" priority="14" operator="equal">
      <formula>"NA"</formula>
    </cfRule>
  </conditionalFormatting>
  <conditionalFormatting sqref="K170:AI171">
    <cfRule type="cellIs" dxfId="33" priority="34" operator="equal">
      <formula>"NA"</formula>
    </cfRule>
  </conditionalFormatting>
  <conditionalFormatting sqref="Y170:Y171">
    <cfRule type="cellIs" dxfId="32" priority="37" operator="equal">
      <formula>"NA"</formula>
    </cfRule>
  </conditionalFormatting>
  <conditionalFormatting sqref="S170:W171">
    <cfRule type="cellIs" dxfId="31" priority="36" operator="equal">
      <formula>"NA"</formula>
    </cfRule>
  </conditionalFormatting>
  <conditionalFormatting sqref="L170:L171">
    <cfRule type="cellIs" dxfId="30" priority="35" operator="equal">
      <formula>"NA"</formula>
    </cfRule>
  </conditionalFormatting>
  <conditionalFormatting sqref="A166:A169 A172:A298">
    <cfRule type="cellIs" dxfId="29" priority="33" operator="equal">
      <formula>"NA"</formula>
    </cfRule>
  </conditionalFormatting>
  <conditionalFormatting sqref="A170:A171">
    <cfRule type="cellIs" dxfId="28" priority="32" operator="equal">
      <formula>"NA"</formula>
    </cfRule>
  </conditionalFormatting>
  <conditionalFormatting sqref="BW170:CB171 BR170:BU171 CD170:CF171 AJ170:BN171">
    <cfRule type="cellIs" dxfId="27" priority="31" operator="equal">
      <formula>"NA"</formula>
    </cfRule>
  </conditionalFormatting>
  <conditionalFormatting sqref="CC170:CC171">
    <cfRule type="cellIs" dxfId="26" priority="30" operator="equal">
      <formula>"NA"</formula>
    </cfRule>
  </conditionalFormatting>
  <conditionalFormatting sqref="BO170:BQ171">
    <cfRule type="cellIs" dxfId="25" priority="29" operator="equal">
      <formula>"NA"</formula>
    </cfRule>
  </conditionalFormatting>
  <conditionalFormatting sqref="BV170:BV171">
    <cfRule type="cellIs" dxfId="24" priority="28" operator="equal">
      <formula>"NA"</formula>
    </cfRule>
  </conditionalFormatting>
  <conditionalFormatting sqref="CG170:CH171">
    <cfRule type="cellIs" dxfId="23" priority="27" operator="equal">
      <formula>"NA"</formula>
    </cfRule>
  </conditionalFormatting>
  <conditionalFormatting sqref="CW170:CW172">
    <cfRule type="cellIs" dxfId="22" priority="11" operator="equal">
      <formula>"NA"</formula>
    </cfRule>
  </conditionalFormatting>
  <conditionalFormatting sqref="DM170:DO171">
    <cfRule type="cellIs" dxfId="21" priority="7" operator="equal">
      <formula>"NA"</formula>
    </cfRule>
  </conditionalFormatting>
  <conditionalFormatting sqref="CL170:CL171">
    <cfRule type="cellIs" dxfId="20" priority="26" operator="equal">
      <formula>"NA"</formula>
    </cfRule>
  </conditionalFormatting>
  <conditionalFormatting sqref="CJ170:CJ171">
    <cfRule type="cellIs" dxfId="19" priority="25" operator="equal">
      <formula>"NA"</formula>
    </cfRule>
  </conditionalFormatting>
  <conditionalFormatting sqref="CI170:CI172">
    <cfRule type="cellIs" dxfId="18" priority="24" operator="equal">
      <formula>"NA"</formula>
    </cfRule>
  </conditionalFormatting>
  <conditionalFormatting sqref="CK170:CK172">
    <cfRule type="cellIs" dxfId="17" priority="23" operator="equal">
      <formula>"NA"</formula>
    </cfRule>
  </conditionalFormatting>
  <conditionalFormatting sqref="CM172:CN172 CP172 CR172">
    <cfRule type="cellIs" dxfId="16" priority="22" operator="equal">
      <formula>"NA"</formula>
    </cfRule>
  </conditionalFormatting>
  <conditionalFormatting sqref="CM170:CN171">
    <cfRule type="cellIs" dxfId="15" priority="21" operator="equal">
      <formula>"NA"</formula>
    </cfRule>
  </conditionalFormatting>
  <conditionalFormatting sqref="CR170:CR171">
    <cfRule type="cellIs" dxfId="14" priority="20" operator="equal">
      <formula>"NA"</formula>
    </cfRule>
  </conditionalFormatting>
  <conditionalFormatting sqref="CP170:CP171">
    <cfRule type="cellIs" dxfId="13" priority="19" operator="equal">
      <formula>"NA"</formula>
    </cfRule>
  </conditionalFormatting>
  <conditionalFormatting sqref="CO170:CO172">
    <cfRule type="cellIs" dxfId="12" priority="18" operator="equal">
      <formula>"NA"</formula>
    </cfRule>
  </conditionalFormatting>
  <conditionalFormatting sqref="CQ170:CQ172">
    <cfRule type="cellIs" dxfId="11" priority="17" operator="equal">
      <formula>"NA"</formula>
    </cfRule>
  </conditionalFormatting>
  <conditionalFormatting sqref="CV170:CV171">
    <cfRule type="cellIs" dxfId="10" priority="13" operator="equal">
      <formula>"NA"</formula>
    </cfRule>
  </conditionalFormatting>
  <conditionalFormatting sqref="CU170:CU172">
    <cfRule type="cellIs" dxfId="9" priority="12" operator="equal">
      <formula>"NA"</formula>
    </cfRule>
  </conditionalFormatting>
  <conditionalFormatting sqref="DG170:DJ171 CY170:DE171">
    <cfRule type="cellIs" dxfId="8" priority="10" operator="equal">
      <formula>"NA"</formula>
    </cfRule>
  </conditionalFormatting>
  <conditionalFormatting sqref="DF170:DF171">
    <cfRule type="cellIs" dxfId="7" priority="9" operator="equal">
      <formula>"NA"</formula>
    </cfRule>
  </conditionalFormatting>
  <conditionalFormatting sqref="DK170:DL171">
    <cfRule type="cellIs" dxfId="6" priority="8" operator="equal">
      <formula>"NA"</formula>
    </cfRule>
  </conditionalFormatting>
  <conditionalFormatting sqref="CD305:CF309 BR305:BU309 BW305:CB309 BL305:BN309">
    <cfRule type="cellIs" dxfId="5" priority="6" operator="equal">
      <formula>"NA"</formula>
    </cfRule>
  </conditionalFormatting>
  <conditionalFormatting sqref="CC305:CC309">
    <cfRule type="cellIs" dxfId="4" priority="5" operator="equal">
      <formula>"NA"</formula>
    </cfRule>
  </conditionalFormatting>
  <conditionalFormatting sqref="BO305:BQ309">
    <cfRule type="cellIs" dxfId="3" priority="4" operator="equal">
      <formula>"NA"</formula>
    </cfRule>
  </conditionalFormatting>
  <conditionalFormatting sqref="BV305:BV309">
    <cfRule type="cellIs" dxfId="2" priority="3" operator="equal">
      <formula>"NA"</formula>
    </cfRule>
  </conditionalFormatting>
  <conditionalFormatting sqref="A299:A366">
    <cfRule type="cellIs" dxfId="1" priority="2" operator="equal">
      <formula>"NA"</formula>
    </cfRule>
  </conditionalFormatting>
  <conditionalFormatting sqref="T4:W5">
    <cfRule type="cellIs" dxfId="0" priority="1" operator="equal">
      <formula>"NA"</formula>
    </cfRule>
  </conditionalFormatting>
  <hyperlinks>
    <hyperlink ref="CA334" r:id="rId1"/>
    <hyperlink ref="CA335" r:id="rId2"/>
    <hyperlink ref="CA336" r:id="rId3"/>
    <hyperlink ref="CA337" r:id="rId4"/>
    <hyperlink ref="CA356" r:id="rId5" display="Ф10@150"/>
    <hyperlink ref="CA357" r:id="rId6" display="Ф10@150"/>
    <hyperlink ref="CA347" r:id="rId7" display="Ф10@150"/>
    <hyperlink ref="CA345" r:id="rId8" display="Ф10@150"/>
    <hyperlink ref="CA346" r:id="rId9" display="Ф10@150"/>
    <hyperlink ref="CA271" r:id="rId10" display="Ф10@150"/>
    <hyperlink ref="CA311" r:id="rId11" display="Ф10@150"/>
    <hyperlink ref="CA312" r:id="rId12" display="Ф10@150"/>
    <hyperlink ref="CA332" r:id="rId13"/>
    <hyperlink ref="CA333" r:id="rId14"/>
    <hyperlink ref="CA329" r:id="rId15"/>
    <hyperlink ref="CA330" r:id="rId16"/>
    <hyperlink ref="CA292" r:id="rId17" display="Ф10@150"/>
    <hyperlink ref="CA294" r:id="rId18" display="Ф10@150"/>
    <hyperlink ref="CA293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13</v>
      </c>
      <c r="B1" s="4" t="s">
        <v>5047</v>
      </c>
      <c r="C1" s="174" t="s">
        <v>14</v>
      </c>
      <c r="D1" s="174" t="s">
        <v>5</v>
      </c>
      <c r="E1" s="174" t="s">
        <v>3869</v>
      </c>
      <c r="F1" s="174" t="s">
        <v>4394</v>
      </c>
      <c r="G1" s="174" t="s">
        <v>4396</v>
      </c>
      <c r="H1" s="174" t="s">
        <v>4395</v>
      </c>
      <c r="I1" s="174" t="s">
        <v>4437</v>
      </c>
      <c r="J1" s="174" t="s">
        <v>3868</v>
      </c>
      <c r="K1" s="174" t="s">
        <v>5048</v>
      </c>
      <c r="L1" s="174" t="s">
        <v>5049</v>
      </c>
      <c r="M1" s="174" t="s">
        <v>3870</v>
      </c>
      <c r="N1" s="174" t="s">
        <v>3872</v>
      </c>
      <c r="O1" s="174" t="s">
        <v>3871</v>
      </c>
      <c r="P1" s="174" t="s">
        <v>3873</v>
      </c>
      <c r="Q1" s="174" t="s">
        <v>3874</v>
      </c>
      <c r="R1" s="174" t="s">
        <v>3876</v>
      </c>
      <c r="S1" s="174" t="s">
        <v>3875</v>
      </c>
      <c r="T1" s="174" t="s">
        <v>3877</v>
      </c>
      <c r="U1" s="174" t="s">
        <v>9</v>
      </c>
      <c r="V1" s="174" t="s">
        <v>5050</v>
      </c>
    </row>
    <row r="2" spans="1:22">
      <c r="A2" s="2" t="s">
        <v>19</v>
      </c>
      <c r="B2" s="2" t="s">
        <v>20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21</v>
      </c>
      <c r="B3" s="2" t="s">
        <v>22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23</v>
      </c>
      <c r="B4" s="2" t="s">
        <v>24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25</v>
      </c>
      <c r="B5" s="2" t="s">
        <v>26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27</v>
      </c>
      <c r="B6" s="2" t="s">
        <v>28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29</v>
      </c>
      <c r="B7" s="2" t="s">
        <v>30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31</v>
      </c>
      <c r="B8" s="2" t="s">
        <v>32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33</v>
      </c>
      <c r="B9" s="2" t="s">
        <v>34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35</v>
      </c>
      <c r="B10" s="2" t="s">
        <v>36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37</v>
      </c>
      <c r="B11" s="2" t="s">
        <v>38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39</v>
      </c>
      <c r="B12" s="2" t="s">
        <v>40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41</v>
      </c>
      <c r="B13" s="2" t="s">
        <v>42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43</v>
      </c>
      <c r="B14" s="2" t="s">
        <v>44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45</v>
      </c>
      <c r="B15" s="2" t="s">
        <v>46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47</v>
      </c>
      <c r="B16" s="2" t="s">
        <v>48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49</v>
      </c>
      <c r="B17" s="2" t="s">
        <v>50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51</v>
      </c>
      <c r="B18" s="2" t="s">
        <v>52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53</v>
      </c>
      <c r="B19" s="2" t="s">
        <v>54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55</v>
      </c>
      <c r="B20" s="2" t="s">
        <v>56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57</v>
      </c>
      <c r="B21" s="2" t="s">
        <v>58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59</v>
      </c>
      <c r="B22" s="2" t="s">
        <v>60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61</v>
      </c>
      <c r="B23" s="2" t="s">
        <v>62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63</v>
      </c>
      <c r="B24" s="2" t="s">
        <v>64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65</v>
      </c>
      <c r="B25" s="2" t="s">
        <v>66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67</v>
      </c>
      <c r="B26" s="2" t="s">
        <v>68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69</v>
      </c>
      <c r="B27" s="2" t="s">
        <v>70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71</v>
      </c>
      <c r="B28" s="2" t="s">
        <v>72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73</v>
      </c>
      <c r="B29" s="2" t="s">
        <v>74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75</v>
      </c>
      <c r="B30" s="2" t="s">
        <v>76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77</v>
      </c>
      <c r="B31" s="2" t="s">
        <v>78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79</v>
      </c>
      <c r="B32" s="2" t="s">
        <v>80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81</v>
      </c>
      <c r="B33" s="2" t="s">
        <v>82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83</v>
      </c>
      <c r="B34" s="2" t="s">
        <v>84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85</v>
      </c>
      <c r="B35" s="2" t="s">
        <v>86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87</v>
      </c>
      <c r="B36" s="2" t="s">
        <v>88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89</v>
      </c>
      <c r="B37" s="2" t="s">
        <v>90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91</v>
      </c>
      <c r="B38" s="2" t="s">
        <v>92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93</v>
      </c>
      <c r="B39" s="2" t="s">
        <v>94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95</v>
      </c>
      <c r="B40" s="2" t="s">
        <v>96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97</v>
      </c>
      <c r="B41" s="2" t="s">
        <v>98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99</v>
      </c>
      <c r="B42" s="2" t="s">
        <v>100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101</v>
      </c>
      <c r="B43" s="2" t="s">
        <v>102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103</v>
      </c>
      <c r="B44" s="2" t="s">
        <v>104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105</v>
      </c>
      <c r="B45" s="2" t="s">
        <v>106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107</v>
      </c>
      <c r="B46" s="2" t="s">
        <v>108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109</v>
      </c>
      <c r="B47" s="2" t="s">
        <v>110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111</v>
      </c>
      <c r="B48" s="2" t="s">
        <v>112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113</v>
      </c>
      <c r="B49" s="2" t="s">
        <v>114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115</v>
      </c>
      <c r="B50" s="2" t="s">
        <v>116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117</v>
      </c>
      <c r="B51" s="2" t="s">
        <v>118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119</v>
      </c>
      <c r="B52" s="2" t="s">
        <v>120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121</v>
      </c>
      <c r="B53" s="2" t="s">
        <v>122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123</v>
      </c>
      <c r="B54" s="2" t="s">
        <v>124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125</v>
      </c>
      <c r="B55" s="2" t="s">
        <v>126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127</v>
      </c>
      <c r="B56" s="2" t="s">
        <v>128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129</v>
      </c>
      <c r="B57" s="2" t="s">
        <v>130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131</v>
      </c>
      <c r="B58" s="2" t="s">
        <v>132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133</v>
      </c>
      <c r="B59" s="2" t="s">
        <v>134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135</v>
      </c>
      <c r="B60" s="2" t="s">
        <v>136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137</v>
      </c>
      <c r="B61" s="2" t="s">
        <v>138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139</v>
      </c>
      <c r="B62" s="2" t="s">
        <v>140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141</v>
      </c>
      <c r="B63" s="2" t="s">
        <v>142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143</v>
      </c>
      <c r="B64" s="2" t="s">
        <v>144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145</v>
      </c>
      <c r="B65" s="2" t="s">
        <v>146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147</v>
      </c>
      <c r="B66" s="2" t="s">
        <v>148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149</v>
      </c>
      <c r="B67" s="2" t="s">
        <v>150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151</v>
      </c>
      <c r="B68" s="2" t="s">
        <v>152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153</v>
      </c>
      <c r="B69" s="2" t="s">
        <v>154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155</v>
      </c>
      <c r="B70" s="2" t="s">
        <v>156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157</v>
      </c>
      <c r="B71" s="2" t="s">
        <v>158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159</v>
      </c>
      <c r="B72" s="2" t="s">
        <v>160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161</v>
      </c>
      <c r="B73" s="2" t="s">
        <v>162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163</v>
      </c>
      <c r="B74" s="2" t="s">
        <v>164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165</v>
      </c>
      <c r="B75" s="2" t="s">
        <v>166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167</v>
      </c>
      <c r="B76" s="2" t="s">
        <v>168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169</v>
      </c>
      <c r="B77" s="2" t="s">
        <v>170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171</v>
      </c>
      <c r="B78" s="2" t="s">
        <v>172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173</v>
      </c>
      <c r="B79" s="2" t="s">
        <v>174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175</v>
      </c>
      <c r="B80" s="2" t="s">
        <v>176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177</v>
      </c>
      <c r="B81" s="2" t="s">
        <v>178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179</v>
      </c>
      <c r="B82" s="2" t="s">
        <v>180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181</v>
      </c>
      <c r="B83" s="2" t="s">
        <v>182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183</v>
      </c>
      <c r="B84" s="2" t="s">
        <v>184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185</v>
      </c>
      <c r="B85" s="2" t="s">
        <v>186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187</v>
      </c>
      <c r="B86" s="2" t="s">
        <v>188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189</v>
      </c>
      <c r="B87" s="2" t="s">
        <v>190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191</v>
      </c>
      <c r="B88" s="2" t="s">
        <v>192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193</v>
      </c>
      <c r="B89" s="2" t="s">
        <v>194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195</v>
      </c>
      <c r="B90" s="2" t="s">
        <v>196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197</v>
      </c>
      <c r="B91" s="2" t="s">
        <v>198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199</v>
      </c>
      <c r="B92" s="2" t="s">
        <v>200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201</v>
      </c>
      <c r="B93" s="2" t="s">
        <v>202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203</v>
      </c>
      <c r="B94" s="2" t="s">
        <v>204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205</v>
      </c>
      <c r="B95" s="2" t="s">
        <v>206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207</v>
      </c>
      <c r="B96" s="2" t="s">
        <v>208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209</v>
      </c>
      <c r="B97" s="2" t="s">
        <v>210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211</v>
      </c>
      <c r="B98" s="2" t="s">
        <v>212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213</v>
      </c>
      <c r="B99" s="2" t="s">
        <v>214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215</v>
      </c>
      <c r="B100" s="2" t="s">
        <v>216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217</v>
      </c>
      <c r="B101" s="2" t="s">
        <v>218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219</v>
      </c>
      <c r="B102" s="2" t="s">
        <v>220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221</v>
      </c>
      <c r="B103" s="2" t="s">
        <v>222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223</v>
      </c>
      <c r="B104" s="2" t="s">
        <v>224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225</v>
      </c>
      <c r="B105" s="2" t="s">
        <v>226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227</v>
      </c>
      <c r="B106" s="2" t="s">
        <v>228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229</v>
      </c>
      <c r="B107" s="2" t="s">
        <v>230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231</v>
      </c>
      <c r="B108" s="2" t="s">
        <v>232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233</v>
      </c>
      <c r="B109" s="2" t="s">
        <v>234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235</v>
      </c>
      <c r="B110" s="2" t="s">
        <v>236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237</v>
      </c>
      <c r="B111" s="2" t="s">
        <v>238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239</v>
      </c>
      <c r="B112" s="2" t="s">
        <v>240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241</v>
      </c>
      <c r="B113" s="2" t="s">
        <v>242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243</v>
      </c>
      <c r="B114" s="2" t="s">
        <v>244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245</v>
      </c>
      <c r="B115" s="2" t="s">
        <v>246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247</v>
      </c>
      <c r="B116" s="2" t="s">
        <v>248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249</v>
      </c>
      <c r="B117" s="2" t="s">
        <v>250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251</v>
      </c>
      <c r="B118" s="2" t="s">
        <v>252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253</v>
      </c>
      <c r="B119" s="2" t="s">
        <v>254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255</v>
      </c>
      <c r="B120" s="2" t="s">
        <v>256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257</v>
      </c>
      <c r="B121" s="2" t="s">
        <v>258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259</v>
      </c>
      <c r="B122" s="2" t="s">
        <v>260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261</v>
      </c>
      <c r="B123" s="2" t="s">
        <v>262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263</v>
      </c>
      <c r="B124" s="2" t="s">
        <v>264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265</v>
      </c>
      <c r="B125" s="2" t="s">
        <v>266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267</v>
      </c>
      <c r="B126" s="2" t="s">
        <v>268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269</v>
      </c>
      <c r="B127" s="2" t="s">
        <v>270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271</v>
      </c>
      <c r="B128" s="2" t="s">
        <v>272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273</v>
      </c>
      <c r="B129" s="2" t="s">
        <v>274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275</v>
      </c>
      <c r="B130" s="2" t="s">
        <v>276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277</v>
      </c>
      <c r="B131" s="2" t="s">
        <v>278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279</v>
      </c>
      <c r="B132" s="2" t="s">
        <v>280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281</v>
      </c>
      <c r="B133" s="2" t="s">
        <v>282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283</v>
      </c>
      <c r="B134" s="2" t="s">
        <v>284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285</v>
      </c>
      <c r="B135" s="2" t="s">
        <v>286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287</v>
      </c>
      <c r="B136" s="2" t="s">
        <v>288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289</v>
      </c>
      <c r="B137" s="2" t="s">
        <v>290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291</v>
      </c>
      <c r="B138" s="2" t="s">
        <v>292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293</v>
      </c>
      <c r="B139" s="2" t="s">
        <v>294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295</v>
      </c>
      <c r="B140" s="2" t="s">
        <v>296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297</v>
      </c>
      <c r="B141" s="2" t="s">
        <v>298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299</v>
      </c>
      <c r="B142" s="2" t="s">
        <v>300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301</v>
      </c>
      <c r="B143" s="2" t="s">
        <v>302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303</v>
      </c>
      <c r="B144" s="2" t="s">
        <v>304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305</v>
      </c>
      <c r="B145" s="2" t="s">
        <v>306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307</v>
      </c>
      <c r="B146" s="2" t="s">
        <v>308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309</v>
      </c>
      <c r="B147" s="2" t="s">
        <v>310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311</v>
      </c>
      <c r="B148" s="2" t="s">
        <v>312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313</v>
      </c>
      <c r="B149" s="2" t="s">
        <v>314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315</v>
      </c>
      <c r="B150" s="2" t="s">
        <v>316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317</v>
      </c>
      <c r="B151" s="2" t="s">
        <v>318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319</v>
      </c>
      <c r="B152" s="2" t="s">
        <v>320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321</v>
      </c>
      <c r="B153" s="2" t="s">
        <v>322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323</v>
      </c>
      <c r="B154" s="2" t="s">
        <v>324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325</v>
      </c>
      <c r="B155" s="2" t="s">
        <v>326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327</v>
      </c>
      <c r="B156" s="2" t="s">
        <v>328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329</v>
      </c>
      <c r="B157" s="2" t="s">
        <v>330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331</v>
      </c>
      <c r="B158" s="2" t="s">
        <v>332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333</v>
      </c>
      <c r="B159" s="2" t="s">
        <v>334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335</v>
      </c>
      <c r="B160" s="2" t="s">
        <v>336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337</v>
      </c>
      <c r="B161" s="2" t="s">
        <v>338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339</v>
      </c>
      <c r="B162" s="2" t="s">
        <v>340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341</v>
      </c>
      <c r="B163" s="2" t="s">
        <v>342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343</v>
      </c>
      <c r="B164" s="2" t="s">
        <v>344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345</v>
      </c>
      <c r="B165" s="2" t="s">
        <v>346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347</v>
      </c>
      <c r="B166" s="2" t="s">
        <v>348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349</v>
      </c>
      <c r="B167" s="2" t="s">
        <v>350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351</v>
      </c>
      <c r="B168" s="2" t="s">
        <v>352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353</v>
      </c>
      <c r="B169" s="2" t="s">
        <v>354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355</v>
      </c>
      <c r="B170" s="2" t="s">
        <v>356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357</v>
      </c>
      <c r="B171" s="2" t="s">
        <v>358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359</v>
      </c>
      <c r="B172" s="2" t="s">
        <v>360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361</v>
      </c>
      <c r="B173" s="2" t="s">
        <v>362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363</v>
      </c>
      <c r="B174" s="2" t="s">
        <v>364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365</v>
      </c>
      <c r="B175" s="2" t="s">
        <v>366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367</v>
      </c>
      <c r="B176" s="2" t="s">
        <v>368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369</v>
      </c>
      <c r="B177" s="2" t="s">
        <v>370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371</v>
      </c>
      <c r="B178" s="2" t="s">
        <v>372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373</v>
      </c>
      <c r="B179" s="2" t="s">
        <v>374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375</v>
      </c>
      <c r="B180" s="2" t="s">
        <v>376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377</v>
      </c>
      <c r="B181" s="2" t="s">
        <v>378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379</v>
      </c>
      <c r="B182" s="2" t="s">
        <v>380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381</v>
      </c>
      <c r="B183" s="2" t="s">
        <v>382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383</v>
      </c>
      <c r="B184" s="2" t="s">
        <v>384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385</v>
      </c>
      <c r="B185" s="2" t="s">
        <v>386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387</v>
      </c>
      <c r="B186" s="2" t="s">
        <v>388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389</v>
      </c>
      <c r="B187" s="2" t="s">
        <v>390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391</v>
      </c>
      <c r="B188" s="2" t="s">
        <v>392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393</v>
      </c>
      <c r="B189" s="2" t="s">
        <v>394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395</v>
      </c>
      <c r="B190" s="2" t="s">
        <v>396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397</v>
      </c>
      <c r="B191" s="2" t="s">
        <v>398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399</v>
      </c>
      <c r="B192" s="2" t="s">
        <v>400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401</v>
      </c>
      <c r="B193" s="2" t="s">
        <v>402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403</v>
      </c>
      <c r="B194" s="2" t="s">
        <v>404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405</v>
      </c>
      <c r="B195" s="2" t="s">
        <v>406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407</v>
      </c>
      <c r="B196" s="2" t="s">
        <v>408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409</v>
      </c>
      <c r="B197" s="2" t="s">
        <v>410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411</v>
      </c>
      <c r="B198" s="2" t="s">
        <v>412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413</v>
      </c>
      <c r="B199" s="2" t="s">
        <v>414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415</v>
      </c>
      <c r="B200" s="2" t="s">
        <v>416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417</v>
      </c>
      <c r="B201" s="2" t="s">
        <v>418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419</v>
      </c>
      <c r="B202" s="2" t="s">
        <v>420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421</v>
      </c>
      <c r="B203" s="2" t="s">
        <v>422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423</v>
      </c>
      <c r="B204" s="2" t="s">
        <v>424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425</v>
      </c>
      <c r="B205" s="2" t="s">
        <v>426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427</v>
      </c>
      <c r="B206" s="2" t="s">
        <v>428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429</v>
      </c>
      <c r="B207" s="2" t="s">
        <v>430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431</v>
      </c>
      <c r="B208" s="2" t="s">
        <v>432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433</v>
      </c>
      <c r="B209" s="2" t="s">
        <v>434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435</v>
      </c>
      <c r="B210" s="2" t="s">
        <v>436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437</v>
      </c>
      <c r="B211" s="2" t="s">
        <v>438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439</v>
      </c>
      <c r="B212" s="2" t="s">
        <v>440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441</v>
      </c>
      <c r="B213" s="2" t="s">
        <v>442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443</v>
      </c>
      <c r="B214" s="2" t="s">
        <v>444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445</v>
      </c>
      <c r="B215" s="2" t="s">
        <v>446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447</v>
      </c>
      <c r="B216" s="2" t="s">
        <v>448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449</v>
      </c>
      <c r="B217" s="2" t="s">
        <v>450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451</v>
      </c>
      <c r="B218" s="2" t="s">
        <v>452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453</v>
      </c>
      <c r="B219" s="2" t="s">
        <v>454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455</v>
      </c>
      <c r="B220" s="2" t="s">
        <v>456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457</v>
      </c>
      <c r="B221" s="2" t="s">
        <v>458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459</v>
      </c>
      <c r="B222" s="2" t="s">
        <v>460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461</v>
      </c>
      <c r="B223" s="2" t="s">
        <v>462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463</v>
      </c>
      <c r="B224" s="2" t="s">
        <v>464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465</v>
      </c>
      <c r="B225" s="2" t="s">
        <v>466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467</v>
      </c>
      <c r="B226" s="2" t="s">
        <v>468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469</v>
      </c>
      <c r="B227" s="2" t="s">
        <v>470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471</v>
      </c>
      <c r="B228" s="2" t="s">
        <v>472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473</v>
      </c>
      <c r="B229" s="2" t="s">
        <v>474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475</v>
      </c>
      <c r="B230" s="2" t="s">
        <v>476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477</v>
      </c>
      <c r="B231" s="2" t="s">
        <v>478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479</v>
      </c>
      <c r="B232" s="2" t="s">
        <v>480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481</v>
      </c>
      <c r="B233" s="2" t="s">
        <v>482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483</v>
      </c>
      <c r="B234" s="2" t="s">
        <v>484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485</v>
      </c>
      <c r="B235" s="2" t="s">
        <v>486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487</v>
      </c>
      <c r="B236" s="2" t="s">
        <v>488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489</v>
      </c>
      <c r="B237" s="2" t="s">
        <v>490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491</v>
      </c>
      <c r="B238" s="2" t="s">
        <v>492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493</v>
      </c>
      <c r="B239" s="2" t="s">
        <v>494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495</v>
      </c>
      <c r="B240" s="2" t="s">
        <v>496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497</v>
      </c>
      <c r="B241" s="2" t="s">
        <v>498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499</v>
      </c>
      <c r="B242" s="2" t="s">
        <v>500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501</v>
      </c>
      <c r="B243" s="2" t="s">
        <v>502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503</v>
      </c>
      <c r="B244" s="2" t="s">
        <v>504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505</v>
      </c>
      <c r="B245" s="2" t="s">
        <v>506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507</v>
      </c>
      <c r="B246" s="2" t="s">
        <v>508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509</v>
      </c>
      <c r="B247" s="2" t="s">
        <v>510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511</v>
      </c>
      <c r="B248" s="2" t="s">
        <v>512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513</v>
      </c>
      <c r="B249" s="2" t="s">
        <v>514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515</v>
      </c>
      <c r="B250" s="2" t="s">
        <v>516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517</v>
      </c>
      <c r="B251" s="2" t="s">
        <v>518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519</v>
      </c>
      <c r="B252" s="2" t="s">
        <v>520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521</v>
      </c>
      <c r="B253" s="2" t="s">
        <v>522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523</v>
      </c>
      <c r="B254" s="2" t="s">
        <v>524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525</v>
      </c>
      <c r="B255" s="2" t="s">
        <v>526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527</v>
      </c>
      <c r="B256" s="2" t="s">
        <v>528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529</v>
      </c>
      <c r="B257" s="2" t="s">
        <v>530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531</v>
      </c>
      <c r="B258" s="2" t="s">
        <v>532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533</v>
      </c>
      <c r="B259" s="2" t="s">
        <v>534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535</v>
      </c>
      <c r="B260" s="2" t="s">
        <v>536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537</v>
      </c>
      <c r="B261" s="2" t="s">
        <v>538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539</v>
      </c>
      <c r="B262" s="2" t="s">
        <v>540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541</v>
      </c>
      <c r="B263" s="2" t="s">
        <v>542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543</v>
      </c>
      <c r="B264" s="2" t="s">
        <v>544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545</v>
      </c>
      <c r="B265" s="2" t="s">
        <v>546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547</v>
      </c>
      <c r="B266" s="2" t="s">
        <v>548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549</v>
      </c>
      <c r="B267" s="2" t="s">
        <v>550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551</v>
      </c>
      <c r="B268" s="2" t="s">
        <v>552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554</v>
      </c>
      <c r="B269" s="2" t="s">
        <v>555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556</v>
      </c>
      <c r="B270" s="2" t="s">
        <v>557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558</v>
      </c>
      <c r="B271" s="2" t="s">
        <v>559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560</v>
      </c>
      <c r="B272" s="2" t="s">
        <v>561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562</v>
      </c>
      <c r="B273" s="2" t="s">
        <v>563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564</v>
      </c>
      <c r="B274" s="2" t="s">
        <v>565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566</v>
      </c>
      <c r="B275" s="2" t="s">
        <v>567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568</v>
      </c>
      <c r="B276" s="2" t="s">
        <v>569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570</v>
      </c>
      <c r="B277" s="2" t="s">
        <v>571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572</v>
      </c>
      <c r="B278" s="2" t="s">
        <v>573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574</v>
      </c>
      <c r="B279" s="2" t="s">
        <v>575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576</v>
      </c>
      <c r="B280" s="2" t="s">
        <v>577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579</v>
      </c>
      <c r="B281" s="2" t="s">
        <v>580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581</v>
      </c>
      <c r="B282" s="2" t="s">
        <v>582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583</v>
      </c>
      <c r="B283" s="2" t="s">
        <v>584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585</v>
      </c>
      <c r="B284" s="2" t="s">
        <v>586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587</v>
      </c>
      <c r="B285" s="2" t="s">
        <v>588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589</v>
      </c>
      <c r="B286" s="2" t="s">
        <v>590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591</v>
      </c>
      <c r="B287" s="2" t="s">
        <v>592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593</v>
      </c>
      <c r="B288" s="2" t="s">
        <v>594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595</v>
      </c>
      <c r="B289" s="2" t="s">
        <v>596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597</v>
      </c>
      <c r="B290" s="2" t="s">
        <v>598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599</v>
      </c>
      <c r="B291" s="2" t="s">
        <v>600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601</v>
      </c>
      <c r="B292" s="2" t="s">
        <v>602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603</v>
      </c>
      <c r="B293" s="2" t="s">
        <v>604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605</v>
      </c>
      <c r="B294" s="2" t="s">
        <v>606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607</v>
      </c>
      <c r="B295" s="2" t="s">
        <v>608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609</v>
      </c>
      <c r="B296" s="2" t="s">
        <v>610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611</v>
      </c>
      <c r="B297" s="2" t="s">
        <v>612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613</v>
      </c>
      <c r="B298" s="2" t="s">
        <v>614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615</v>
      </c>
      <c r="B299" s="2" t="s">
        <v>616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617</v>
      </c>
      <c r="B300" s="2" t="s">
        <v>618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619</v>
      </c>
      <c r="B301" s="2" t="s">
        <v>620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621</v>
      </c>
      <c r="B302" s="2" t="s">
        <v>622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623</v>
      </c>
      <c r="B303" s="2" t="s">
        <v>624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625</v>
      </c>
      <c r="B304" s="2" t="s">
        <v>626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627</v>
      </c>
      <c r="B305" s="2" t="s">
        <v>628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629</v>
      </c>
      <c r="B306" s="2" t="s">
        <v>630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631</v>
      </c>
      <c r="B307" s="2" t="s">
        <v>632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633</v>
      </c>
      <c r="B308" s="2" t="s">
        <v>634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635</v>
      </c>
      <c r="B309" s="2" t="s">
        <v>636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637</v>
      </c>
      <c r="B310" s="2" t="s">
        <v>638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639</v>
      </c>
      <c r="B311" s="2" t="s">
        <v>640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641</v>
      </c>
      <c r="B312" s="2" t="s">
        <v>642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643</v>
      </c>
      <c r="B313" s="2" t="s">
        <v>644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645</v>
      </c>
      <c r="B314" s="2" t="s">
        <v>646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647</v>
      </c>
      <c r="B315" s="2" t="s">
        <v>648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649</v>
      </c>
      <c r="B316" s="2" t="s">
        <v>650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651</v>
      </c>
      <c r="B317" s="2" t="s">
        <v>652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653</v>
      </c>
      <c r="B318" s="2" t="s">
        <v>654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655</v>
      </c>
      <c r="B319" s="2" t="s">
        <v>656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657</v>
      </c>
      <c r="B320" s="2" t="s">
        <v>658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659</v>
      </c>
      <c r="B321" s="2" t="s">
        <v>660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661</v>
      </c>
      <c r="B322" s="2" t="s">
        <v>662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663</v>
      </c>
      <c r="B323" s="2" t="s">
        <v>664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665</v>
      </c>
      <c r="B324" s="2" t="s">
        <v>666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667</v>
      </c>
      <c r="B325" s="2" t="s">
        <v>668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669</v>
      </c>
      <c r="B326" s="2" t="s">
        <v>670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671</v>
      </c>
      <c r="B327" s="2" t="s">
        <v>672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673</v>
      </c>
      <c r="B328" s="2" t="s">
        <v>674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675</v>
      </c>
      <c r="B329" s="2" t="s">
        <v>676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677</v>
      </c>
      <c r="B330" s="2" t="s">
        <v>678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679</v>
      </c>
      <c r="B331" s="2" t="s">
        <v>680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681</v>
      </c>
      <c r="B332" s="2" t="s">
        <v>682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683</v>
      </c>
      <c r="B333" s="2" t="s">
        <v>684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685</v>
      </c>
      <c r="B334" s="2" t="s">
        <v>686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687</v>
      </c>
      <c r="B335" s="2" t="s">
        <v>688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689</v>
      </c>
      <c r="B336" s="2" t="s">
        <v>690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691</v>
      </c>
      <c r="B337" s="2" t="s">
        <v>692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693</v>
      </c>
      <c r="B338" s="2" t="s">
        <v>694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695</v>
      </c>
      <c r="B339" s="2" t="s">
        <v>696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697</v>
      </c>
      <c r="B340" s="2" t="s">
        <v>698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699</v>
      </c>
      <c r="B341" s="2" t="s">
        <v>700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701</v>
      </c>
      <c r="B342" s="2" t="s">
        <v>702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703</v>
      </c>
      <c r="B343" s="2" t="s">
        <v>704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705</v>
      </c>
      <c r="B344" s="2" t="s">
        <v>706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707</v>
      </c>
      <c r="B345" s="2" t="s">
        <v>708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709</v>
      </c>
      <c r="B346" s="2" t="s">
        <v>710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711</v>
      </c>
      <c r="B347" s="2" t="s">
        <v>712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713</v>
      </c>
      <c r="B348" s="2" t="s">
        <v>714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715</v>
      </c>
      <c r="B349" s="2" t="s">
        <v>716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717</v>
      </c>
      <c r="B350" s="2" t="s">
        <v>718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719</v>
      </c>
      <c r="B351" s="2" t="s">
        <v>720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721</v>
      </c>
      <c r="B352" s="2" t="s">
        <v>722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723</v>
      </c>
      <c r="B353" s="2" t="s">
        <v>724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725</v>
      </c>
      <c r="B354" s="2" t="s">
        <v>726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727</v>
      </c>
      <c r="B355" s="2" t="s">
        <v>728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729</v>
      </c>
      <c r="B356" s="2" t="s">
        <v>730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731</v>
      </c>
      <c r="B357" s="2" t="s">
        <v>732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733</v>
      </c>
      <c r="B358" s="2" t="s">
        <v>734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735</v>
      </c>
      <c r="B359" s="2" t="s">
        <v>736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737</v>
      </c>
      <c r="B360" s="2" t="s">
        <v>738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739</v>
      </c>
      <c r="B361" s="2" t="s">
        <v>740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741</v>
      </c>
      <c r="B362" s="2" t="s">
        <v>742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743</v>
      </c>
      <c r="B363" s="2" t="s">
        <v>744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745</v>
      </c>
      <c r="B364" s="2" t="s">
        <v>746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747</v>
      </c>
      <c r="B365" s="2" t="s">
        <v>748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749</v>
      </c>
      <c r="B366" s="2" t="s">
        <v>750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751</v>
      </c>
      <c r="B367" s="2" t="s">
        <v>752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753</v>
      </c>
      <c r="B368" s="2" t="s">
        <v>754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755</v>
      </c>
      <c r="B369" s="2" t="s">
        <v>756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757</v>
      </c>
      <c r="B370" s="2" t="s">
        <v>758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759</v>
      </c>
      <c r="B371" s="2" t="s">
        <v>760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761</v>
      </c>
      <c r="B372" s="2" t="s">
        <v>762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763</v>
      </c>
      <c r="B373" s="2" t="s">
        <v>764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765</v>
      </c>
      <c r="B374" s="2" t="s">
        <v>766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767</v>
      </c>
      <c r="B375" s="2" t="s">
        <v>768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769</v>
      </c>
      <c r="B376" s="2" t="s">
        <v>770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771</v>
      </c>
      <c r="B377" s="2" t="s">
        <v>772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773</v>
      </c>
      <c r="B378" s="2" t="s">
        <v>774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775</v>
      </c>
      <c r="B379" s="2" t="s">
        <v>776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777</v>
      </c>
      <c r="B380" s="2" t="s">
        <v>778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779</v>
      </c>
      <c r="B381" s="2" t="s">
        <v>780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781</v>
      </c>
      <c r="B382" s="2" t="s">
        <v>782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783</v>
      </c>
      <c r="B383" s="2" t="s">
        <v>784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785</v>
      </c>
      <c r="B384" s="2" t="s">
        <v>786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788</v>
      </c>
      <c r="B385" s="2" t="s">
        <v>789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790</v>
      </c>
      <c r="B386" s="2" t="s">
        <v>791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792</v>
      </c>
      <c r="B387" s="2" t="s">
        <v>793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794</v>
      </c>
      <c r="B388" s="2" t="s">
        <v>795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796</v>
      </c>
      <c r="B389" s="2" t="s">
        <v>797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798</v>
      </c>
      <c r="B390" s="2" t="s">
        <v>799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800</v>
      </c>
      <c r="B391" s="2" t="s">
        <v>801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802</v>
      </c>
      <c r="B392" s="2" t="s">
        <v>803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804</v>
      </c>
      <c r="B393" s="2" t="s">
        <v>805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806</v>
      </c>
      <c r="B394" s="2" t="s">
        <v>807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808</v>
      </c>
      <c r="B395" s="2" t="s">
        <v>809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810</v>
      </c>
      <c r="B396" s="2" t="s">
        <v>811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812</v>
      </c>
      <c r="B397" s="2" t="s">
        <v>813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814</v>
      </c>
      <c r="B398" s="2" t="s">
        <v>815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816</v>
      </c>
      <c r="B399" s="2" t="s">
        <v>817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818</v>
      </c>
      <c r="B400" s="2" t="s">
        <v>819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820</v>
      </c>
      <c r="B401" s="2" t="s">
        <v>821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822</v>
      </c>
      <c r="B402" s="2" t="s">
        <v>823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824</v>
      </c>
      <c r="B403" s="2" t="s">
        <v>825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826</v>
      </c>
      <c r="B404" s="2" t="s">
        <v>827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828</v>
      </c>
      <c r="B405" s="2" t="s">
        <v>829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830</v>
      </c>
      <c r="B406" s="2" t="s">
        <v>831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832</v>
      </c>
      <c r="B407" s="2" t="s">
        <v>833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834</v>
      </c>
      <c r="B408" s="2" t="s">
        <v>835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836</v>
      </c>
      <c r="B409" s="2" t="s">
        <v>837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838</v>
      </c>
      <c r="B410" s="2" t="s">
        <v>839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840</v>
      </c>
      <c r="B411" s="2" t="s">
        <v>841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842</v>
      </c>
      <c r="B412" s="2" t="s">
        <v>843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844</v>
      </c>
      <c r="B413" s="2" t="s">
        <v>845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846</v>
      </c>
      <c r="B414" s="2" t="s">
        <v>847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848</v>
      </c>
      <c r="B415" s="2" t="s">
        <v>849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850</v>
      </c>
      <c r="B416" s="2" t="s">
        <v>851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852</v>
      </c>
      <c r="B417" s="2" t="s">
        <v>853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854</v>
      </c>
      <c r="B418" s="2" t="s">
        <v>855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856</v>
      </c>
      <c r="B419" s="2" t="s">
        <v>857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858</v>
      </c>
      <c r="B420" s="2" t="s">
        <v>859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860</v>
      </c>
      <c r="B421" s="2" t="s">
        <v>861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862</v>
      </c>
      <c r="B422" s="2" t="s">
        <v>863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864</v>
      </c>
      <c r="B423" s="2" t="s">
        <v>865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866</v>
      </c>
      <c r="B424" s="2" t="s">
        <v>867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868</v>
      </c>
      <c r="B425" s="2" t="s">
        <v>869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870</v>
      </c>
      <c r="B426" s="2" t="s">
        <v>871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872</v>
      </c>
      <c r="B427" s="2" t="s">
        <v>873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874</v>
      </c>
      <c r="B428" s="2" t="s">
        <v>875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876</v>
      </c>
      <c r="B429" s="2" t="s">
        <v>877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878</v>
      </c>
      <c r="B430" s="2" t="s">
        <v>879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880</v>
      </c>
      <c r="B431" s="2" t="s">
        <v>881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882</v>
      </c>
      <c r="B432" s="2" t="s">
        <v>883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884</v>
      </c>
      <c r="B433" s="2" t="s">
        <v>885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886</v>
      </c>
      <c r="B434" s="2" t="s">
        <v>887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888</v>
      </c>
      <c r="B435" s="2" t="s">
        <v>889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890</v>
      </c>
      <c r="B436" s="2" t="s">
        <v>891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892</v>
      </c>
      <c r="B437" s="2" t="s">
        <v>893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894</v>
      </c>
      <c r="B438" s="2" t="s">
        <v>895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896</v>
      </c>
      <c r="B439" s="2" t="s">
        <v>897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898</v>
      </c>
      <c r="B440" s="2" t="s">
        <v>899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900</v>
      </c>
      <c r="B441" s="2" t="s">
        <v>901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902</v>
      </c>
      <c r="B442" s="2" t="s">
        <v>903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904</v>
      </c>
      <c r="B443" s="2" t="s">
        <v>905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906</v>
      </c>
      <c r="B444" s="2" t="s">
        <v>907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908</v>
      </c>
      <c r="B445" s="2" t="s">
        <v>909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910</v>
      </c>
      <c r="B446" s="2" t="s">
        <v>911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912</v>
      </c>
      <c r="B447" s="2" t="s">
        <v>913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914</v>
      </c>
      <c r="B448" s="2" t="s">
        <v>915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916</v>
      </c>
      <c r="B449" s="2" t="s">
        <v>917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918</v>
      </c>
      <c r="B450" s="2" t="s">
        <v>919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920</v>
      </c>
      <c r="B451" s="2" t="s">
        <v>921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922</v>
      </c>
      <c r="B452" s="2" t="s">
        <v>923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924</v>
      </c>
      <c r="B453" s="2" t="s">
        <v>925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926</v>
      </c>
      <c r="B454" s="2" t="s">
        <v>927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928</v>
      </c>
      <c r="B455" s="2" t="s">
        <v>929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930</v>
      </c>
      <c r="B456" s="2" t="s">
        <v>931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932</v>
      </c>
      <c r="B457" s="2" t="s">
        <v>933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934</v>
      </c>
      <c r="B458" s="2" t="s">
        <v>935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936</v>
      </c>
      <c r="B459" s="2" t="s">
        <v>937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938</v>
      </c>
      <c r="B460" s="2" t="s">
        <v>939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940</v>
      </c>
      <c r="B461" s="2" t="s">
        <v>941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942</v>
      </c>
      <c r="B462" s="2" t="s">
        <v>943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944</v>
      </c>
      <c r="B463" s="2" t="s">
        <v>945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946</v>
      </c>
      <c r="B464" s="2" t="s">
        <v>947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948</v>
      </c>
      <c r="B465" s="2" t="s">
        <v>949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950</v>
      </c>
      <c r="B466" s="2" t="s">
        <v>951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952</v>
      </c>
      <c r="B467" s="2" t="s">
        <v>953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954</v>
      </c>
      <c r="B468" s="2" t="s">
        <v>955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956</v>
      </c>
      <c r="B469" s="2" t="s">
        <v>957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958</v>
      </c>
      <c r="B470" s="2" t="s">
        <v>959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960</v>
      </c>
      <c r="B471" s="2" t="s">
        <v>961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962</v>
      </c>
      <c r="B472" s="2" t="s">
        <v>963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964</v>
      </c>
      <c r="B473" s="2" t="s">
        <v>965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966</v>
      </c>
      <c r="B474" s="2" t="s">
        <v>967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968</v>
      </c>
      <c r="B475" s="2" t="s">
        <v>969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970</v>
      </c>
      <c r="B476" s="2" t="s">
        <v>971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972</v>
      </c>
      <c r="B477" s="2" t="s">
        <v>973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974</v>
      </c>
      <c r="B478" s="2" t="s">
        <v>975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976</v>
      </c>
      <c r="B479" s="2" t="s">
        <v>977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978</v>
      </c>
      <c r="B480" s="2" t="s">
        <v>979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980</v>
      </c>
      <c r="B481" s="2" t="s">
        <v>981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982</v>
      </c>
      <c r="B482" s="2" t="s">
        <v>983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984</v>
      </c>
      <c r="B483" s="2" t="s">
        <v>985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986</v>
      </c>
      <c r="B484" s="2" t="s">
        <v>987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988</v>
      </c>
      <c r="B485" s="2" t="s">
        <v>989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990</v>
      </c>
      <c r="B486" s="2" t="s">
        <v>991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992</v>
      </c>
      <c r="B487" s="2" t="s">
        <v>993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994</v>
      </c>
      <c r="B488" s="2" t="s">
        <v>995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996</v>
      </c>
      <c r="B489" s="2" t="s">
        <v>997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998</v>
      </c>
      <c r="B490" s="2" t="s">
        <v>999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1000</v>
      </c>
      <c r="B491" s="2" t="s">
        <v>1001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1002</v>
      </c>
      <c r="B492" s="2" t="s">
        <v>1003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1004</v>
      </c>
      <c r="B493" s="2" t="s">
        <v>1005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1006</v>
      </c>
      <c r="B494" s="2" t="s">
        <v>1007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1008</v>
      </c>
      <c r="B495" s="2" t="s">
        <v>1009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1010</v>
      </c>
      <c r="B496" s="2" t="s">
        <v>1011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1012</v>
      </c>
      <c r="B497" s="2" t="s">
        <v>1013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1014</v>
      </c>
      <c r="B498" s="2" t="s">
        <v>1015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1016</v>
      </c>
      <c r="B499" s="2" t="s">
        <v>1017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1018</v>
      </c>
      <c r="B500" s="2" t="s">
        <v>1019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1020</v>
      </c>
      <c r="B501" s="2" t="s">
        <v>1021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1022</v>
      </c>
      <c r="B502" s="2" t="s">
        <v>1023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1024</v>
      </c>
      <c r="B503" s="2" t="s">
        <v>1025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1026</v>
      </c>
      <c r="B504" s="2" t="s">
        <v>1027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1028</v>
      </c>
      <c r="B505" s="2" t="s">
        <v>1029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1030</v>
      </c>
      <c r="B506" s="2" t="s">
        <v>1031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1032</v>
      </c>
      <c r="B507" s="2" t="s">
        <v>1033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1034</v>
      </c>
      <c r="B508" s="2" t="s">
        <v>1035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1036</v>
      </c>
      <c r="B509" s="2" t="s">
        <v>1037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1038</v>
      </c>
      <c r="B510" s="2" t="s">
        <v>1039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1040</v>
      </c>
      <c r="B511" s="2" t="s">
        <v>1041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1042</v>
      </c>
      <c r="B512" s="2" t="s">
        <v>1043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1044</v>
      </c>
      <c r="B513" s="2" t="s">
        <v>1045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1046</v>
      </c>
      <c r="B514" s="2" t="s">
        <v>1047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1048</v>
      </c>
      <c r="B515" s="2" t="s">
        <v>1049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1050</v>
      </c>
      <c r="B516" s="2" t="s">
        <v>1051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1052</v>
      </c>
      <c r="B517" s="2" t="s">
        <v>1053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1054</v>
      </c>
      <c r="B518" s="2" t="s">
        <v>1055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1056</v>
      </c>
      <c r="B519" s="2" t="s">
        <v>1057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1058</v>
      </c>
      <c r="B520" s="2" t="s">
        <v>1059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1060</v>
      </c>
      <c r="B521" s="2" t="s">
        <v>1061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1062</v>
      </c>
      <c r="B522" s="2" t="s">
        <v>1063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1064</v>
      </c>
      <c r="B523" s="2" t="s">
        <v>1065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1066</v>
      </c>
      <c r="B524" s="2" t="s">
        <v>1067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1068</v>
      </c>
      <c r="B525" s="2" t="s">
        <v>1069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1070</v>
      </c>
      <c r="B526" s="2" t="s">
        <v>1071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1072</v>
      </c>
      <c r="B527" s="2" t="s">
        <v>1073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1074</v>
      </c>
      <c r="B528" s="2" t="s">
        <v>1075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1076</v>
      </c>
      <c r="B529" s="2" t="s">
        <v>1077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1078</v>
      </c>
      <c r="B530" s="2" t="s">
        <v>1079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1080</v>
      </c>
      <c r="B531" s="2" t="s">
        <v>1081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1082</v>
      </c>
      <c r="B532" s="2" t="s">
        <v>1083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1084</v>
      </c>
      <c r="B533" s="2" t="s">
        <v>1085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1086</v>
      </c>
      <c r="B534" s="2" t="s">
        <v>1087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1088</v>
      </c>
      <c r="B535" s="2" t="s">
        <v>1089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1090</v>
      </c>
      <c r="B536" s="2" t="s">
        <v>1091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1092</v>
      </c>
      <c r="B537" s="2" t="s">
        <v>1093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1094</v>
      </c>
      <c r="B538" s="2" t="s">
        <v>1095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1096</v>
      </c>
      <c r="B539" s="2" t="s">
        <v>1097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1098</v>
      </c>
      <c r="B540" s="2" t="s">
        <v>1099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1100</v>
      </c>
      <c r="B541" s="2" t="s">
        <v>1101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1102</v>
      </c>
      <c r="B542" s="2" t="s">
        <v>1103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1104</v>
      </c>
      <c r="B543" s="2" t="s">
        <v>1105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1106</v>
      </c>
      <c r="B544" s="2" t="s">
        <v>1107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1108</v>
      </c>
      <c r="B545" s="2" t="s">
        <v>1109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1110</v>
      </c>
      <c r="B546" s="2" t="s">
        <v>1111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1112</v>
      </c>
      <c r="B547" s="2" t="s">
        <v>1113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1114</v>
      </c>
      <c r="B548" s="2" t="s">
        <v>1115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1116</v>
      </c>
      <c r="B549" s="2" t="s">
        <v>1117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1118</v>
      </c>
      <c r="B550" s="2" t="s">
        <v>1119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1120</v>
      </c>
      <c r="B551" s="2" t="s">
        <v>1121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1122</v>
      </c>
      <c r="B552" s="2" t="s">
        <v>1123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1124</v>
      </c>
      <c r="B553" s="2" t="s">
        <v>1125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1126</v>
      </c>
      <c r="B554" s="2" t="s">
        <v>1127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1128</v>
      </c>
      <c r="B555" s="2" t="s">
        <v>1129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1130</v>
      </c>
      <c r="B556" s="2" t="s">
        <v>1131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1132</v>
      </c>
      <c r="B557" s="2" t="s">
        <v>1133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1134</v>
      </c>
      <c r="B558" s="2" t="s">
        <v>1135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1136</v>
      </c>
      <c r="B559" s="2" t="s">
        <v>1137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1138</v>
      </c>
      <c r="B560" s="2" t="s">
        <v>1139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1140</v>
      </c>
      <c r="B561" s="2" t="s">
        <v>1141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1142</v>
      </c>
      <c r="B562" s="2" t="s">
        <v>1143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1144</v>
      </c>
      <c r="B563" s="2" t="s">
        <v>1145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1146</v>
      </c>
      <c r="B564" s="2" t="s">
        <v>1147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1148</v>
      </c>
      <c r="B565" s="2" t="s">
        <v>1149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1150</v>
      </c>
      <c r="B566" s="2" t="s">
        <v>1151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1152</v>
      </c>
      <c r="B567" s="2" t="s">
        <v>1153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1154</v>
      </c>
      <c r="B568" s="2" t="s">
        <v>1155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1156</v>
      </c>
      <c r="B569" s="2" t="s">
        <v>1157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1158</v>
      </c>
      <c r="B570" s="2" t="s">
        <v>1159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1160</v>
      </c>
      <c r="B571" s="2" t="s">
        <v>1161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1162</v>
      </c>
      <c r="B572" s="2" t="s">
        <v>1163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1164</v>
      </c>
      <c r="B573" s="2" t="s">
        <v>1165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1166</v>
      </c>
      <c r="B574" s="2" t="s">
        <v>1167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1168</v>
      </c>
      <c r="B575" s="2" t="s">
        <v>1169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1170</v>
      </c>
      <c r="B576" s="2" t="s">
        <v>1171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1172</v>
      </c>
      <c r="B577" s="2" t="s">
        <v>1173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1174</v>
      </c>
      <c r="B578" s="2" t="s">
        <v>1175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1176</v>
      </c>
      <c r="B579" s="2" t="s">
        <v>1177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1178</v>
      </c>
      <c r="B580" s="2" t="s">
        <v>1179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1180</v>
      </c>
      <c r="B581" s="2" t="s">
        <v>1181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1182</v>
      </c>
      <c r="B582" s="2" t="s">
        <v>1183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1184</v>
      </c>
      <c r="B583" s="2" t="s">
        <v>1185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1186</v>
      </c>
      <c r="B584" s="2" t="s">
        <v>1187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1188</v>
      </c>
      <c r="B585" s="2" t="s">
        <v>1189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1190</v>
      </c>
      <c r="B586" s="2" t="s">
        <v>1191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1192</v>
      </c>
      <c r="B587" s="2" t="s">
        <v>1193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1194</v>
      </c>
      <c r="B588" s="2" t="s">
        <v>1195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1196</v>
      </c>
      <c r="B589" s="2" t="s">
        <v>1197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1198</v>
      </c>
      <c r="B590" s="2" t="s">
        <v>1199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1200</v>
      </c>
      <c r="B591" s="2" t="s">
        <v>1201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1202</v>
      </c>
      <c r="B592" s="2" t="s">
        <v>1203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1204</v>
      </c>
      <c r="B593" s="2" t="s">
        <v>1205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1206</v>
      </c>
      <c r="B594" s="2" t="s">
        <v>1207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1208</v>
      </c>
      <c r="B595" s="2" t="s">
        <v>1209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1210</v>
      </c>
      <c r="B596" s="2" t="s">
        <v>1211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1212</v>
      </c>
      <c r="B597" s="2" t="s">
        <v>1213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1214</v>
      </c>
      <c r="B598" s="2" t="s">
        <v>1215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1216</v>
      </c>
      <c r="B599" s="2" t="s">
        <v>1217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1218</v>
      </c>
      <c r="B600" s="2" t="s">
        <v>1219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1220</v>
      </c>
      <c r="B601" s="2" t="s">
        <v>1221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1222</v>
      </c>
      <c r="B602" s="2" t="s">
        <v>1223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1224</v>
      </c>
      <c r="B603" s="2" t="s">
        <v>1225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1226</v>
      </c>
      <c r="B604" s="2" t="s">
        <v>1227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1228</v>
      </c>
      <c r="B605" s="2" t="s">
        <v>1229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1230</v>
      </c>
      <c r="B606" s="2" t="s">
        <v>1231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1232</v>
      </c>
      <c r="B607" s="2" t="s">
        <v>1233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1234</v>
      </c>
      <c r="B608" s="2" t="s">
        <v>1235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1236</v>
      </c>
      <c r="B609" s="2" t="s">
        <v>1237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1238</v>
      </c>
      <c r="B610" s="2" t="s">
        <v>1239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1240</v>
      </c>
      <c r="B611" s="2" t="s">
        <v>1241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1242</v>
      </c>
      <c r="B612" s="2" t="s">
        <v>1243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1244</v>
      </c>
      <c r="B613" s="2" t="s">
        <v>1245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1246</v>
      </c>
      <c r="B614" s="2" t="s">
        <v>1247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1248</v>
      </c>
      <c r="B615" s="2" t="s">
        <v>1249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1250</v>
      </c>
      <c r="B616" s="2" t="s">
        <v>1251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1252</v>
      </c>
      <c r="B617" s="2" t="s">
        <v>1253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1254</v>
      </c>
      <c r="B618" s="2" t="s">
        <v>1255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1256</v>
      </c>
      <c r="B619" s="2" t="s">
        <v>1257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1258</v>
      </c>
      <c r="B620" s="2" t="s">
        <v>1259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1260</v>
      </c>
      <c r="B621" s="2" t="s">
        <v>1261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1262</v>
      </c>
      <c r="B622" s="2" t="s">
        <v>1263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1264</v>
      </c>
      <c r="B623" s="2" t="s">
        <v>1265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1266</v>
      </c>
      <c r="B624" s="2" t="s">
        <v>1267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1268</v>
      </c>
      <c r="B625" s="2" t="s">
        <v>1269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1270</v>
      </c>
      <c r="B626" s="2" t="s">
        <v>1271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1272</v>
      </c>
      <c r="B627" s="2" t="s">
        <v>1273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1274</v>
      </c>
      <c r="B628" s="2" t="s">
        <v>1275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1276</v>
      </c>
      <c r="B629" s="2" t="s">
        <v>1277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1278</v>
      </c>
      <c r="B630" s="2" t="s">
        <v>1279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1280</v>
      </c>
      <c r="B631" s="2" t="s">
        <v>1281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1282</v>
      </c>
      <c r="B632" s="2" t="s">
        <v>1283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1284</v>
      </c>
      <c r="B633" s="2" t="s">
        <v>1285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1286</v>
      </c>
      <c r="B634" s="2" t="s">
        <v>1287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1288</v>
      </c>
      <c r="B635" s="2" t="s">
        <v>1289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1290</v>
      </c>
      <c r="B636" s="2" t="s">
        <v>1291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1292</v>
      </c>
      <c r="B637" s="2" t="s">
        <v>1293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1294</v>
      </c>
      <c r="B638" s="2" t="s">
        <v>1295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1296</v>
      </c>
      <c r="B639" s="2" t="s">
        <v>1297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1298</v>
      </c>
      <c r="B640" s="2" t="s">
        <v>1299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1300</v>
      </c>
      <c r="B641" s="2" t="s">
        <v>1301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1302</v>
      </c>
      <c r="B642" s="2" t="s">
        <v>1303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1304</v>
      </c>
      <c r="B643" s="2" t="s">
        <v>1305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1306</v>
      </c>
      <c r="B644" s="2" t="s">
        <v>1307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1308</v>
      </c>
      <c r="B645" s="2" t="s">
        <v>1309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1310</v>
      </c>
      <c r="B646" s="2" t="s">
        <v>1311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1312</v>
      </c>
      <c r="B647" s="2" t="s">
        <v>1313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1314</v>
      </c>
      <c r="B648" s="2" t="s">
        <v>1315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1316</v>
      </c>
      <c r="B649" s="2" t="s">
        <v>1317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1318</v>
      </c>
      <c r="B650" s="2" t="s">
        <v>1319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1320</v>
      </c>
      <c r="B651" s="2" t="s">
        <v>1321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1322</v>
      </c>
      <c r="B652" s="2" t="s">
        <v>1323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1324</v>
      </c>
      <c r="B653" s="2" t="s">
        <v>1325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1326</v>
      </c>
      <c r="B654" s="2" t="s">
        <v>1327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1328</v>
      </c>
      <c r="B655" s="2" t="s">
        <v>1329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1330</v>
      </c>
      <c r="B656" s="2" t="s">
        <v>1331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1332</v>
      </c>
      <c r="B657" s="2" t="s">
        <v>1333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1334</v>
      </c>
      <c r="B658" s="2" t="s">
        <v>1335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1336</v>
      </c>
      <c r="B659" s="2" t="s">
        <v>1337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1338</v>
      </c>
      <c r="B660" s="2" t="s">
        <v>1339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1340</v>
      </c>
      <c r="B661" s="2" t="s">
        <v>1341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1342</v>
      </c>
      <c r="B662" s="2" t="s">
        <v>1343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1344</v>
      </c>
      <c r="B663" s="2" t="s">
        <v>1345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1346</v>
      </c>
      <c r="B664" s="2" t="s">
        <v>1347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1348</v>
      </c>
      <c r="B665" s="2" t="s">
        <v>1349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1350</v>
      </c>
      <c r="B666" s="2" t="s">
        <v>1351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1352</v>
      </c>
      <c r="B667" s="2" t="s">
        <v>1353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1354</v>
      </c>
      <c r="B668" s="2" t="s">
        <v>1355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1356</v>
      </c>
      <c r="B669" s="2" t="s">
        <v>1357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1358</v>
      </c>
      <c r="B670" s="2" t="s">
        <v>1359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1360</v>
      </c>
      <c r="B671" s="2" t="s">
        <v>1361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1362</v>
      </c>
      <c r="B672" s="2" t="s">
        <v>1363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1364</v>
      </c>
      <c r="B673" s="2" t="s">
        <v>1365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1366</v>
      </c>
      <c r="B674" s="2" t="s">
        <v>1367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1368</v>
      </c>
      <c r="B675" s="2" t="s">
        <v>1369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1370</v>
      </c>
      <c r="B676" s="2" t="s">
        <v>1371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1372</v>
      </c>
      <c r="B677" s="2" t="s">
        <v>1373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1374</v>
      </c>
      <c r="B678" s="2" t="s">
        <v>1375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1376</v>
      </c>
      <c r="B679" s="2" t="s">
        <v>1377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1378</v>
      </c>
      <c r="B680" s="2" t="s">
        <v>1379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1380</v>
      </c>
      <c r="B681" s="2" t="s">
        <v>1381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1382</v>
      </c>
      <c r="B682" s="2" t="s">
        <v>1383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1384</v>
      </c>
      <c r="B683" s="2" t="s">
        <v>1385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1386</v>
      </c>
      <c r="B684" s="2" t="s">
        <v>1387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1388</v>
      </c>
      <c r="B685" s="2" t="s">
        <v>1389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1390</v>
      </c>
      <c r="B686" s="2" t="s">
        <v>1391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1392</v>
      </c>
      <c r="B687" s="2" t="s">
        <v>1393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1394</v>
      </c>
      <c r="B688" s="2" t="s">
        <v>1395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1396</v>
      </c>
      <c r="B689" s="2" t="s">
        <v>1397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1398</v>
      </c>
      <c r="B690" s="2" t="s">
        <v>1399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1400</v>
      </c>
      <c r="B691" s="2" t="s">
        <v>1401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1402</v>
      </c>
      <c r="B692" s="2" t="s">
        <v>1403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1404</v>
      </c>
      <c r="B693" s="2" t="s">
        <v>1405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1406</v>
      </c>
      <c r="B694" s="2" t="s">
        <v>1407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1408</v>
      </c>
      <c r="B695" s="2" t="s">
        <v>1409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1410</v>
      </c>
      <c r="B696" s="2" t="s">
        <v>1411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1412</v>
      </c>
      <c r="B697" s="2" t="s">
        <v>1413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1414</v>
      </c>
      <c r="B698" s="2" t="s">
        <v>1415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1416</v>
      </c>
      <c r="B699" s="2" t="s">
        <v>1417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1418</v>
      </c>
      <c r="B700" s="2" t="s">
        <v>1419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1420</v>
      </c>
      <c r="B701" s="2" t="s">
        <v>1421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1422</v>
      </c>
      <c r="B702" s="2" t="s">
        <v>1423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1424</v>
      </c>
      <c r="B703" s="2" t="s">
        <v>1425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1426</v>
      </c>
      <c r="B704" s="2" t="s">
        <v>1427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1428</v>
      </c>
      <c r="B705" s="2" t="s">
        <v>1429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1430</v>
      </c>
      <c r="B706" s="2" t="s">
        <v>1431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1432</v>
      </c>
      <c r="B707" s="2" t="s">
        <v>1433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1434</v>
      </c>
      <c r="B708" s="2" t="s">
        <v>1435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1436</v>
      </c>
      <c r="B709" s="2" t="s">
        <v>1437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1438</v>
      </c>
      <c r="B710" s="2" t="s">
        <v>1439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1440</v>
      </c>
      <c r="B711" s="2" t="s">
        <v>1441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1442</v>
      </c>
      <c r="B712" s="2" t="s">
        <v>1443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1444</v>
      </c>
      <c r="B713" s="2" t="s">
        <v>1445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1446</v>
      </c>
      <c r="B714" s="2" t="s">
        <v>1447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1448</v>
      </c>
      <c r="B715" s="2" t="s">
        <v>1449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1450</v>
      </c>
      <c r="B716" s="2" t="s">
        <v>1451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1452</v>
      </c>
      <c r="B717" s="2" t="s">
        <v>1453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1454</v>
      </c>
      <c r="B718" s="2" t="s">
        <v>1455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1456</v>
      </c>
      <c r="B719" s="2" t="s">
        <v>1457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1458</v>
      </c>
      <c r="B720" s="2" t="s">
        <v>1459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1460</v>
      </c>
      <c r="B721" s="2" t="s">
        <v>1461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1462</v>
      </c>
      <c r="B722" s="2" t="s">
        <v>1463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1464</v>
      </c>
      <c r="B723" s="2" t="s">
        <v>1465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1466</v>
      </c>
      <c r="B724" s="2" t="s">
        <v>1467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1468</v>
      </c>
      <c r="B725" s="2" t="s">
        <v>1469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1470</v>
      </c>
      <c r="B726" s="2" t="s">
        <v>1471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1472</v>
      </c>
      <c r="B727" s="2" t="s">
        <v>1473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1474</v>
      </c>
      <c r="B728" s="2" t="s">
        <v>1475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1476</v>
      </c>
      <c r="B729" s="2" t="s">
        <v>1477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1478</v>
      </c>
      <c r="B730" s="2" t="s">
        <v>1479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1480</v>
      </c>
      <c r="B731" s="2" t="s">
        <v>1481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1482</v>
      </c>
      <c r="B732" s="2" t="s">
        <v>1483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1484</v>
      </c>
      <c r="B733" s="2" t="s">
        <v>1485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1486</v>
      </c>
      <c r="B734" s="2" t="s">
        <v>1487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1488</v>
      </c>
      <c r="B735" s="2" t="s">
        <v>1489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1490</v>
      </c>
      <c r="B736" s="2" t="s">
        <v>1491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1492</v>
      </c>
      <c r="B737" s="2" t="s">
        <v>1493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1494</v>
      </c>
      <c r="B738" s="2" t="s">
        <v>1495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1496</v>
      </c>
      <c r="B739" s="2" t="s">
        <v>1497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1498</v>
      </c>
      <c r="B740" s="2" t="s">
        <v>1499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1500</v>
      </c>
      <c r="B741" s="2" t="s">
        <v>1501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1502</v>
      </c>
      <c r="B742" s="2" t="s">
        <v>1503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1504</v>
      </c>
      <c r="B743" s="2" t="s">
        <v>1505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1506</v>
      </c>
      <c r="B744" s="2" t="s">
        <v>1507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1508</v>
      </c>
      <c r="B745" s="2" t="s">
        <v>1509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1510</v>
      </c>
      <c r="B746" s="2" t="s">
        <v>1511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1512</v>
      </c>
      <c r="B747" s="2" t="s">
        <v>1513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1514</v>
      </c>
      <c r="B748" s="2" t="s">
        <v>1515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1516</v>
      </c>
      <c r="B749" s="2" t="s">
        <v>1517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1518</v>
      </c>
      <c r="B750" s="2" t="s">
        <v>1519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1520</v>
      </c>
      <c r="B751" s="2" t="s">
        <v>1521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1522</v>
      </c>
      <c r="B752" s="2" t="s">
        <v>1523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1524</v>
      </c>
      <c r="B753" s="2" t="s">
        <v>1525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1526</v>
      </c>
      <c r="B754" s="2" t="s">
        <v>1527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1528</v>
      </c>
      <c r="B755" s="2" t="s">
        <v>1529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1530</v>
      </c>
      <c r="B756" s="2" t="s">
        <v>1531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1532</v>
      </c>
      <c r="B757" s="2" t="s">
        <v>1533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1534</v>
      </c>
      <c r="B758" s="2" t="s">
        <v>1535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1536</v>
      </c>
      <c r="B759" s="2" t="s">
        <v>1537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1538</v>
      </c>
      <c r="B760" s="2" t="s">
        <v>1539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1540</v>
      </c>
      <c r="B761" s="2" t="s">
        <v>1541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1542</v>
      </c>
      <c r="B762" s="2" t="s">
        <v>1543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1544</v>
      </c>
      <c r="B763" s="2" t="s">
        <v>1545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1546</v>
      </c>
      <c r="B764" s="2" t="s">
        <v>1547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1548</v>
      </c>
      <c r="B765" s="2" t="s">
        <v>1549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1550</v>
      </c>
      <c r="B766" s="2" t="s">
        <v>1551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1552</v>
      </c>
      <c r="B767" s="2" t="s">
        <v>1553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1554</v>
      </c>
      <c r="B768" s="2" t="s">
        <v>1555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1556</v>
      </c>
      <c r="B769" s="2" t="s">
        <v>1557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1558</v>
      </c>
      <c r="B770" s="2" t="s">
        <v>1559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1560</v>
      </c>
      <c r="B771" s="2" t="s">
        <v>1561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1562</v>
      </c>
      <c r="B772" s="2" t="s">
        <v>1563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1564</v>
      </c>
      <c r="B773" s="2" t="s">
        <v>1565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1566</v>
      </c>
      <c r="B774" s="2" t="s">
        <v>1567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1568</v>
      </c>
      <c r="B775" s="2" t="s">
        <v>1569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1570</v>
      </c>
      <c r="B776" s="2" t="s">
        <v>1571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1572</v>
      </c>
      <c r="B777" s="2" t="s">
        <v>1573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1574</v>
      </c>
      <c r="B778" s="2" t="s">
        <v>1575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1576</v>
      </c>
      <c r="B779" s="2" t="s">
        <v>1577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1578</v>
      </c>
      <c r="B780" s="2" t="s">
        <v>1579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1580</v>
      </c>
      <c r="B781" s="2" t="s">
        <v>1581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1582</v>
      </c>
      <c r="B782" s="2" t="s">
        <v>1583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1584</v>
      </c>
      <c r="B783" s="2" t="s">
        <v>1585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1586</v>
      </c>
      <c r="B784" s="2" t="s">
        <v>1587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1588</v>
      </c>
      <c r="B785" s="2" t="s">
        <v>1589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1590</v>
      </c>
      <c r="B786" s="2" t="s">
        <v>1591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1592</v>
      </c>
      <c r="B787" s="2" t="s">
        <v>1593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1594</v>
      </c>
      <c r="B788" s="2" t="s">
        <v>1595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1596</v>
      </c>
      <c r="B789" s="2" t="s">
        <v>1597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1598</v>
      </c>
      <c r="B790" s="2" t="s">
        <v>1599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1600</v>
      </c>
      <c r="B791" s="2" t="s">
        <v>1601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1602</v>
      </c>
      <c r="B792" s="2" t="s">
        <v>1603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1604</v>
      </c>
      <c r="B793" s="2" t="s">
        <v>1605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1606</v>
      </c>
      <c r="B794" s="2" t="s">
        <v>1607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1608</v>
      </c>
      <c r="B795" s="2" t="s">
        <v>1609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1610</v>
      </c>
      <c r="B796" s="2" t="s">
        <v>1611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1612</v>
      </c>
      <c r="B797" s="2" t="s">
        <v>1613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1614</v>
      </c>
      <c r="B798" s="2" t="s">
        <v>1615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1616</v>
      </c>
      <c r="B799" s="2" t="s">
        <v>1617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1618</v>
      </c>
      <c r="B800" s="2" t="s">
        <v>1619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1620</v>
      </c>
      <c r="B801" s="2" t="s">
        <v>1621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1622</v>
      </c>
      <c r="B802" s="2" t="s">
        <v>1623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1624</v>
      </c>
      <c r="B803" s="2" t="s">
        <v>1625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1626</v>
      </c>
      <c r="B804" s="2" t="s">
        <v>1627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1628</v>
      </c>
      <c r="B805" s="2" t="s">
        <v>1629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1630</v>
      </c>
      <c r="B806" s="2" t="s">
        <v>1631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1632</v>
      </c>
      <c r="B807" s="2" t="s">
        <v>1633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1634</v>
      </c>
      <c r="B808" s="2" t="s">
        <v>1635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1636</v>
      </c>
      <c r="B809" s="2" t="s">
        <v>1637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1638</v>
      </c>
      <c r="B810" s="2" t="s">
        <v>1639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1640</v>
      </c>
      <c r="B811" s="2" t="s">
        <v>1641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1642</v>
      </c>
      <c r="B812" s="2" t="s">
        <v>1643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1644</v>
      </c>
      <c r="B813" s="2" t="s">
        <v>1645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1646</v>
      </c>
      <c r="B814" s="2" t="s">
        <v>1647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1648</v>
      </c>
      <c r="B815" s="2" t="s">
        <v>1649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1650</v>
      </c>
      <c r="B816" s="2" t="s">
        <v>1651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1652</v>
      </c>
      <c r="B817" s="2" t="s">
        <v>1653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1654</v>
      </c>
      <c r="B818" s="2" t="s">
        <v>1655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1656</v>
      </c>
      <c r="B819" s="2" t="s">
        <v>1657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1658</v>
      </c>
      <c r="B820" s="2" t="s">
        <v>1659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1660</v>
      </c>
      <c r="B821" s="2" t="s">
        <v>1661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1662</v>
      </c>
      <c r="B822" s="2" t="s">
        <v>1663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1664</v>
      </c>
      <c r="B823" s="2" t="s">
        <v>1665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1666</v>
      </c>
      <c r="B824" s="2" t="s">
        <v>1667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1668</v>
      </c>
      <c r="B825" s="2" t="s">
        <v>1669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1670</v>
      </c>
      <c r="B826" s="2" t="s">
        <v>1671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1672</v>
      </c>
      <c r="B827" s="2" t="s">
        <v>1673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1674</v>
      </c>
      <c r="B828" s="2" t="s">
        <v>1675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1676</v>
      </c>
      <c r="B829" s="2" t="s">
        <v>1677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1678</v>
      </c>
      <c r="B830" s="2" t="s">
        <v>1679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1680</v>
      </c>
      <c r="B831" s="2" t="s">
        <v>1681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1682</v>
      </c>
      <c r="B832" s="2" t="s">
        <v>1683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1684</v>
      </c>
      <c r="B833" s="2" t="s">
        <v>1685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1686</v>
      </c>
      <c r="B834" s="2" t="s">
        <v>1687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1688</v>
      </c>
      <c r="B835" s="2" t="s">
        <v>1689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1690</v>
      </c>
      <c r="B836" s="2" t="s">
        <v>1691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1692</v>
      </c>
      <c r="B837" s="2" t="s">
        <v>1693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1694</v>
      </c>
      <c r="B838" s="2" t="s">
        <v>1695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1696</v>
      </c>
      <c r="B839" s="2" t="s">
        <v>1697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1698</v>
      </c>
      <c r="B840" s="2" t="s">
        <v>1699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1700</v>
      </c>
      <c r="B841" s="2" t="s">
        <v>1701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1702</v>
      </c>
      <c r="B842" s="2" t="s">
        <v>1703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1704</v>
      </c>
      <c r="B843" s="2" t="s">
        <v>1705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1706</v>
      </c>
      <c r="B844" s="2" t="s">
        <v>1707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1708</v>
      </c>
      <c r="B845" s="2" t="s">
        <v>1709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1710</v>
      </c>
      <c r="B846" s="2" t="s">
        <v>1711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1712</v>
      </c>
      <c r="B847" s="2" t="s">
        <v>1713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1714</v>
      </c>
      <c r="B848" s="2" t="s">
        <v>1715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1716</v>
      </c>
      <c r="B849" s="2" t="s">
        <v>1717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1718</v>
      </c>
      <c r="B850" s="2" t="s">
        <v>1719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1720</v>
      </c>
      <c r="B851" s="2" t="s">
        <v>1721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1722</v>
      </c>
      <c r="B852" s="2" t="s">
        <v>1723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1724</v>
      </c>
      <c r="B853" s="2" t="s">
        <v>1725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1726</v>
      </c>
      <c r="B854" s="2" t="s">
        <v>1727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1728</v>
      </c>
      <c r="B855" s="2" t="s">
        <v>1729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1730</v>
      </c>
      <c r="B856" s="2" t="s">
        <v>1731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1732</v>
      </c>
      <c r="B857" s="2" t="s">
        <v>1733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1734</v>
      </c>
      <c r="B858" s="2" t="s">
        <v>1735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1736</v>
      </c>
      <c r="B859" s="2" t="s">
        <v>1737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1738</v>
      </c>
      <c r="B860" s="2" t="s">
        <v>1739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1740</v>
      </c>
      <c r="B861" s="2" t="s">
        <v>1741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1742</v>
      </c>
      <c r="B862" s="2" t="s">
        <v>1743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1744</v>
      </c>
      <c r="B863" s="2" t="s">
        <v>1745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1746</v>
      </c>
      <c r="B864" s="2" t="s">
        <v>1747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1748</v>
      </c>
      <c r="B865" s="2" t="s">
        <v>1749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1750</v>
      </c>
      <c r="B866" s="2" t="s">
        <v>1751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1752</v>
      </c>
      <c r="B867" s="2" t="s">
        <v>1753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1754</v>
      </c>
      <c r="B868" s="2" t="s">
        <v>1755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1756</v>
      </c>
      <c r="B869" s="2" t="s">
        <v>1757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1758</v>
      </c>
      <c r="B870" s="2" t="s">
        <v>1759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1760</v>
      </c>
      <c r="B871" s="2" t="s">
        <v>1761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1762</v>
      </c>
      <c r="B872" s="2" t="s">
        <v>1763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1764</v>
      </c>
      <c r="B873" s="2" t="s">
        <v>1765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1766</v>
      </c>
      <c r="B874" s="2" t="s">
        <v>1767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1768</v>
      </c>
      <c r="B875" s="2" t="s">
        <v>1769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1770</v>
      </c>
      <c r="B876" s="2" t="s">
        <v>1771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1772</v>
      </c>
      <c r="B877" s="2" t="s">
        <v>1773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1774</v>
      </c>
      <c r="B878" s="2" t="s">
        <v>1775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1776</v>
      </c>
      <c r="B879" s="2" t="s">
        <v>1777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1778</v>
      </c>
      <c r="B880" s="2" t="s">
        <v>1779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1780</v>
      </c>
      <c r="B881" s="2" t="s">
        <v>1781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1782</v>
      </c>
      <c r="B882" s="2" t="s">
        <v>1783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1784</v>
      </c>
      <c r="B883" s="2" t="s">
        <v>1785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1786</v>
      </c>
      <c r="B884" s="2" t="s">
        <v>1787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1788</v>
      </c>
      <c r="B885" s="2" t="s">
        <v>1789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1790</v>
      </c>
      <c r="B886" s="2" t="s">
        <v>1791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1792</v>
      </c>
      <c r="B887" s="2" t="s">
        <v>1793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1794</v>
      </c>
      <c r="B888" s="2" t="s">
        <v>1795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1796</v>
      </c>
      <c r="B889" s="2" t="s">
        <v>1797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1798</v>
      </c>
      <c r="B890" s="2" t="s">
        <v>1799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1800</v>
      </c>
      <c r="B891" s="2" t="s">
        <v>1801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1802</v>
      </c>
      <c r="B892" s="2" t="s">
        <v>1803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1804</v>
      </c>
      <c r="B893" s="2" t="s">
        <v>1805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1806</v>
      </c>
      <c r="B894" s="2" t="s">
        <v>1807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1808</v>
      </c>
      <c r="B895" s="2" t="s">
        <v>1809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1810</v>
      </c>
      <c r="B896" s="2" t="s">
        <v>1811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1812</v>
      </c>
      <c r="B897" s="2" t="s">
        <v>1813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1814</v>
      </c>
      <c r="B898" s="2" t="s">
        <v>1815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1816</v>
      </c>
      <c r="B899" s="2" t="s">
        <v>1817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1818</v>
      </c>
      <c r="B900" s="2" t="s">
        <v>1819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1820</v>
      </c>
      <c r="B901" s="2" t="s">
        <v>1821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1822</v>
      </c>
      <c r="B902" s="2" t="s">
        <v>1823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1824</v>
      </c>
      <c r="B903" s="2" t="s">
        <v>1825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1826</v>
      </c>
      <c r="B904" s="2" t="s">
        <v>1827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1828</v>
      </c>
      <c r="B905" s="2" t="s">
        <v>1829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1830</v>
      </c>
      <c r="B906" s="2" t="s">
        <v>1831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1832</v>
      </c>
      <c r="B907" s="2" t="s">
        <v>1833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1834</v>
      </c>
      <c r="B908" s="2" t="s">
        <v>1835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1836</v>
      </c>
      <c r="B909" s="2" t="s">
        <v>1837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1838</v>
      </c>
      <c r="B910" s="2" t="s">
        <v>1839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1840</v>
      </c>
      <c r="B911" s="2" t="s">
        <v>1841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1842</v>
      </c>
      <c r="B912" s="2" t="s">
        <v>1843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1844</v>
      </c>
      <c r="B913" s="2" t="s">
        <v>1845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1846</v>
      </c>
      <c r="B914" s="2" t="s">
        <v>1847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1848</v>
      </c>
      <c r="B915" s="2" t="s">
        <v>1849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1850</v>
      </c>
      <c r="B916" s="2" t="s">
        <v>1851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1852</v>
      </c>
      <c r="B917" s="2" t="s">
        <v>1853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1854</v>
      </c>
      <c r="B918" s="2" t="s">
        <v>1855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1856</v>
      </c>
      <c r="B919" s="2" t="s">
        <v>1857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1858</v>
      </c>
      <c r="B920" s="2" t="s">
        <v>1859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1860</v>
      </c>
      <c r="B921" s="2" t="s">
        <v>1861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1862</v>
      </c>
      <c r="B922" s="2" t="s">
        <v>1863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1864</v>
      </c>
      <c r="B923" s="2" t="s">
        <v>1865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1866</v>
      </c>
      <c r="B924" s="2" t="s">
        <v>1867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1868</v>
      </c>
      <c r="B925" s="2" t="s">
        <v>1869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1870</v>
      </c>
      <c r="B926" s="2" t="s">
        <v>1871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1872</v>
      </c>
      <c r="B927" s="2" t="s">
        <v>1873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1874</v>
      </c>
      <c r="B928" s="2" t="s">
        <v>1875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1876</v>
      </c>
      <c r="B929" s="2" t="s">
        <v>1877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1878</v>
      </c>
      <c r="B930" s="2" t="s">
        <v>1879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1880</v>
      </c>
      <c r="B931" s="2" t="s">
        <v>1881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1882</v>
      </c>
      <c r="B932" s="2" t="s">
        <v>1883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1884</v>
      </c>
      <c r="B933" s="2" t="s">
        <v>1885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1886</v>
      </c>
      <c r="B934" s="2" t="s">
        <v>1887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1888</v>
      </c>
      <c r="B935" s="2" t="s">
        <v>1889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1890</v>
      </c>
      <c r="B936" s="2" t="s">
        <v>1891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1892</v>
      </c>
      <c r="B937" s="2" t="s">
        <v>1893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1894</v>
      </c>
      <c r="B938" s="2" t="s">
        <v>1895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1896</v>
      </c>
      <c r="B939" s="2" t="s">
        <v>1897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1898</v>
      </c>
      <c r="B940" s="2" t="s">
        <v>1899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1900</v>
      </c>
      <c r="B941" s="2" t="s">
        <v>1901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1902</v>
      </c>
      <c r="B942" s="2" t="s">
        <v>1903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1904</v>
      </c>
      <c r="B943" s="2" t="s">
        <v>1905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1906</v>
      </c>
      <c r="B944" s="2" t="s">
        <v>1907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1908</v>
      </c>
      <c r="B945" s="2" t="s">
        <v>1909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1910</v>
      </c>
      <c r="B946" s="2" t="s">
        <v>1911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1912</v>
      </c>
      <c r="B947" s="2" t="s">
        <v>1913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1914</v>
      </c>
      <c r="B948" s="2" t="s">
        <v>1915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1916</v>
      </c>
      <c r="B949" s="2" t="s">
        <v>1917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1918</v>
      </c>
      <c r="B950" s="2" t="s">
        <v>1919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1920</v>
      </c>
      <c r="B951" s="2" t="s">
        <v>1921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1922</v>
      </c>
      <c r="B952" s="2" t="s">
        <v>1923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1924</v>
      </c>
      <c r="B953" s="2" t="s">
        <v>1925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1926</v>
      </c>
      <c r="B954" s="2" t="s">
        <v>1927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1928</v>
      </c>
      <c r="B955" s="2" t="s">
        <v>1929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1930</v>
      </c>
      <c r="B956" s="2" t="s">
        <v>1931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1932</v>
      </c>
      <c r="B957" s="2" t="s">
        <v>1933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1934</v>
      </c>
      <c r="B958" s="2" t="s">
        <v>1935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1936</v>
      </c>
      <c r="B959" s="2" t="s">
        <v>1937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1938</v>
      </c>
      <c r="B960" s="2" t="s">
        <v>1939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1940</v>
      </c>
      <c r="B961" s="2" t="s">
        <v>1941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1942</v>
      </c>
      <c r="B962" s="2" t="s">
        <v>1943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1944</v>
      </c>
      <c r="B963" s="2" t="s">
        <v>1945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1946</v>
      </c>
      <c r="B964" s="2" t="s">
        <v>1947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1948</v>
      </c>
      <c r="B965" s="2" t="s">
        <v>1949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1950</v>
      </c>
      <c r="B966" s="2" t="s">
        <v>1951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1952</v>
      </c>
      <c r="B967" s="2" t="s">
        <v>1953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1954</v>
      </c>
      <c r="B968" s="2" t="s">
        <v>1955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1956</v>
      </c>
      <c r="B969" s="2" t="s">
        <v>1957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1958</v>
      </c>
      <c r="B970" s="2" t="s">
        <v>1959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1960</v>
      </c>
      <c r="B971" s="2" t="s">
        <v>1961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1962</v>
      </c>
      <c r="B972" s="2" t="s">
        <v>1963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1964</v>
      </c>
      <c r="B973" s="2" t="s">
        <v>1965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1966</v>
      </c>
      <c r="B974" s="2" t="s">
        <v>1967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1968</v>
      </c>
      <c r="B975" s="2" t="s">
        <v>1969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1970</v>
      </c>
      <c r="B976" s="2" t="s">
        <v>1971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1972</v>
      </c>
      <c r="B977" s="2" t="s">
        <v>1973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1974</v>
      </c>
      <c r="B978" s="2" t="s">
        <v>1975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1976</v>
      </c>
      <c r="B979" s="2" t="s">
        <v>1977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1978</v>
      </c>
      <c r="B980" s="2" t="s">
        <v>1979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1980</v>
      </c>
      <c r="B981" s="2" t="s">
        <v>1981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1982</v>
      </c>
      <c r="B982" s="2" t="s">
        <v>1983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1984</v>
      </c>
      <c r="B983" s="2" t="s">
        <v>1985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1986</v>
      </c>
      <c r="B984" s="2" t="s">
        <v>1987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1988</v>
      </c>
      <c r="B985" s="2" t="s">
        <v>1989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1990</v>
      </c>
      <c r="B986" s="2" t="s">
        <v>1991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1992</v>
      </c>
      <c r="B987" s="2" t="s">
        <v>1993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1994</v>
      </c>
      <c r="B988" s="2" t="s">
        <v>1995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1996</v>
      </c>
      <c r="B989" s="2" t="s">
        <v>1997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1998</v>
      </c>
      <c r="B990" s="2" t="s">
        <v>1999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2000</v>
      </c>
      <c r="B991" s="2" t="s">
        <v>2001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2002</v>
      </c>
      <c r="B992" s="2" t="s">
        <v>2003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2004</v>
      </c>
      <c r="B993" s="2" t="s">
        <v>2005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2006</v>
      </c>
      <c r="B994" s="2" t="s">
        <v>2007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2008</v>
      </c>
      <c r="B995" s="2" t="s">
        <v>2009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2010</v>
      </c>
      <c r="B996" s="2" t="s">
        <v>2011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2012</v>
      </c>
      <c r="B997" s="2" t="s">
        <v>2013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2014</v>
      </c>
      <c r="B998" s="2" t="s">
        <v>2015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2016</v>
      </c>
      <c r="B999" s="2" t="s">
        <v>2017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2018</v>
      </c>
      <c r="B1000" s="2" t="s">
        <v>2019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2020</v>
      </c>
      <c r="B1001" s="2" t="s">
        <v>2021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2022</v>
      </c>
      <c r="B1002" s="2" t="s">
        <v>2023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2024</v>
      </c>
      <c r="B1003" s="2" t="s">
        <v>2025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2026</v>
      </c>
      <c r="B1004" s="2" t="s">
        <v>2027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2028</v>
      </c>
      <c r="B1005" s="2" t="s">
        <v>2029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2030</v>
      </c>
      <c r="B1006" s="2" t="s">
        <v>2031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2032</v>
      </c>
      <c r="B1007" s="2" t="s">
        <v>2033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2034</v>
      </c>
      <c r="B1008" s="2" t="s">
        <v>2035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2036</v>
      </c>
      <c r="B1009" s="2" t="s">
        <v>2037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2038</v>
      </c>
      <c r="B1010" s="2" t="s">
        <v>2039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2040</v>
      </c>
      <c r="B1011" s="2" t="s">
        <v>2041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2042</v>
      </c>
      <c r="B1012" s="2" t="s">
        <v>2043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2044</v>
      </c>
      <c r="B1013" s="2" t="s">
        <v>2045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2046</v>
      </c>
      <c r="B1014" s="2" t="s">
        <v>2047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2048</v>
      </c>
      <c r="B1015" s="2" t="s">
        <v>2049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2050</v>
      </c>
      <c r="B1016" s="2" t="s">
        <v>2051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2052</v>
      </c>
      <c r="B1017" s="2" t="s">
        <v>2053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2054</v>
      </c>
      <c r="B1018" s="2" t="s">
        <v>2055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2056</v>
      </c>
      <c r="B1019" s="2" t="s">
        <v>2057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2058</v>
      </c>
      <c r="B1020" s="2" t="s">
        <v>2059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2060</v>
      </c>
      <c r="B1021" s="2" t="s">
        <v>2061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2062</v>
      </c>
      <c r="B1022" s="2" t="s">
        <v>2063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2064</v>
      </c>
      <c r="B1023" s="2" t="s">
        <v>2065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2066</v>
      </c>
      <c r="B1024" s="2" t="s">
        <v>2067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2068</v>
      </c>
      <c r="B1025" s="2" t="s">
        <v>2069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2070</v>
      </c>
      <c r="B1026" s="2" t="s">
        <v>2071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2072</v>
      </c>
      <c r="B1027" s="2" t="s">
        <v>2073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2074</v>
      </c>
      <c r="B1028" s="2" t="s">
        <v>2075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2076</v>
      </c>
      <c r="B1029" s="2" t="s">
        <v>2077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2078</v>
      </c>
      <c r="B1030" s="2" t="s">
        <v>2079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2080</v>
      </c>
      <c r="B1031" s="2" t="s">
        <v>2081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2082</v>
      </c>
      <c r="B1032" s="2" t="s">
        <v>2083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2084</v>
      </c>
      <c r="B1033" s="2" t="s">
        <v>2085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2086</v>
      </c>
      <c r="B1034" s="2" t="s">
        <v>2087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2088</v>
      </c>
      <c r="B1035" s="2" t="s">
        <v>2089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2090</v>
      </c>
      <c r="B1036" s="2" t="s">
        <v>2091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2092</v>
      </c>
      <c r="B1037" s="2" t="s">
        <v>2093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2094</v>
      </c>
      <c r="B1038" s="2" t="s">
        <v>2095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2096</v>
      </c>
      <c r="B1039" s="2" t="s">
        <v>2097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2098</v>
      </c>
      <c r="B1040" s="2" t="s">
        <v>2099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2100</v>
      </c>
      <c r="B1041" s="2" t="s">
        <v>2101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2102</v>
      </c>
      <c r="B1042" s="2" t="s">
        <v>2103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2104</v>
      </c>
      <c r="B1043" s="2" t="s">
        <v>2105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2106</v>
      </c>
      <c r="B1044" s="2" t="s">
        <v>2107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2108</v>
      </c>
      <c r="B1045" s="2" t="s">
        <v>2109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2110</v>
      </c>
      <c r="B1046" s="2" t="s">
        <v>2111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2112</v>
      </c>
      <c r="B1047" s="2" t="s">
        <v>2113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2114</v>
      </c>
      <c r="B1048" s="2" t="s">
        <v>2115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2116</v>
      </c>
      <c r="B1049" s="2" t="s">
        <v>2117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2118</v>
      </c>
      <c r="B1050" s="2" t="s">
        <v>2119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2120</v>
      </c>
      <c r="B1051" s="2" t="s">
        <v>2121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2122</v>
      </c>
      <c r="B1052" s="2" t="s">
        <v>2123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2124</v>
      </c>
      <c r="B1053" s="2" t="s">
        <v>2125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2126</v>
      </c>
      <c r="B1054" s="2" t="s">
        <v>2127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2128</v>
      </c>
      <c r="B1055" s="2" t="s">
        <v>2129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2130</v>
      </c>
      <c r="B1056" s="2" t="s">
        <v>2131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2132</v>
      </c>
      <c r="B1057" s="2" t="s">
        <v>2133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2134</v>
      </c>
      <c r="B1058" s="2" t="s">
        <v>2135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2136</v>
      </c>
      <c r="B1059" s="2" t="s">
        <v>2137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2138</v>
      </c>
      <c r="B1060" s="2" t="s">
        <v>2139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2140</v>
      </c>
      <c r="B1061" s="2" t="s">
        <v>2141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2142</v>
      </c>
      <c r="B1062" s="2" t="s">
        <v>2143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2144</v>
      </c>
      <c r="B1063" s="2" t="s">
        <v>2145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2146</v>
      </c>
      <c r="B1064" s="2" t="s">
        <v>2147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2148</v>
      </c>
      <c r="B1065" s="2" t="s">
        <v>2149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2150</v>
      </c>
      <c r="B1066" s="2" t="s">
        <v>2151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2152</v>
      </c>
      <c r="B1067" s="2" t="s">
        <v>2153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2154</v>
      </c>
      <c r="B1068" s="2" t="s">
        <v>2155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2156</v>
      </c>
      <c r="B1069" s="2" t="s">
        <v>2157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2158</v>
      </c>
      <c r="B1070" s="2" t="s">
        <v>2159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2160</v>
      </c>
      <c r="B1071" s="2" t="s">
        <v>2161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2162</v>
      </c>
      <c r="B1072" s="2" t="s">
        <v>2163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2164</v>
      </c>
      <c r="B1073" s="2" t="s">
        <v>2165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2166</v>
      </c>
      <c r="B1074" s="2" t="s">
        <v>2167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2168</v>
      </c>
      <c r="B1075" s="2" t="s">
        <v>2169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2170</v>
      </c>
      <c r="B1076" s="2" t="s">
        <v>2171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2172</v>
      </c>
      <c r="B1077" s="2" t="s">
        <v>2173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2174</v>
      </c>
      <c r="B1078" s="2" t="s">
        <v>2175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2176</v>
      </c>
      <c r="B1079" s="2" t="s">
        <v>2177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2178</v>
      </c>
      <c r="B1080" s="2" t="s">
        <v>2179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2180</v>
      </c>
      <c r="B1081" s="2" t="s">
        <v>2181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2182</v>
      </c>
      <c r="B1082" s="2" t="s">
        <v>2183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2184</v>
      </c>
      <c r="B1083" s="2" t="s">
        <v>2185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2186</v>
      </c>
      <c r="B1084" s="2" t="s">
        <v>2187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2188</v>
      </c>
      <c r="B1085" s="2" t="s">
        <v>2189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2190</v>
      </c>
      <c r="B1086" s="2" t="s">
        <v>2191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2192</v>
      </c>
      <c r="B1087" s="2" t="s">
        <v>2193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2194</v>
      </c>
      <c r="B1088" s="2" t="s">
        <v>2195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2196</v>
      </c>
      <c r="B1089" s="2" t="s">
        <v>2197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2198</v>
      </c>
      <c r="B1090" s="2" t="s">
        <v>2199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2200</v>
      </c>
      <c r="B1091" s="2" t="s">
        <v>2201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2202</v>
      </c>
      <c r="B1092" s="2" t="s">
        <v>2203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2204</v>
      </c>
      <c r="B1093" s="2" t="s">
        <v>2205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2206</v>
      </c>
      <c r="B1094" s="2" t="s">
        <v>2207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2208</v>
      </c>
      <c r="B1095" s="2" t="s">
        <v>2209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2210</v>
      </c>
      <c r="B1096" s="2" t="s">
        <v>2211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2212</v>
      </c>
      <c r="B1097" s="2" t="s">
        <v>2213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2214</v>
      </c>
      <c r="B1098" s="2" t="s">
        <v>2215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2216</v>
      </c>
      <c r="B1099" s="2" t="s">
        <v>2217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2218</v>
      </c>
      <c r="B1100" s="2" t="s">
        <v>2219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2220</v>
      </c>
      <c r="B1101" s="2" t="s">
        <v>2221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2222</v>
      </c>
      <c r="B1102" s="2" t="s">
        <v>2223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2224</v>
      </c>
      <c r="B1103" s="2" t="s">
        <v>2225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2226</v>
      </c>
      <c r="B1104" s="2" t="s">
        <v>2227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2228</v>
      </c>
      <c r="B1105" s="2" t="s">
        <v>2229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2230</v>
      </c>
      <c r="B1106" s="2" t="s">
        <v>2231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2232</v>
      </c>
      <c r="B1107" s="2" t="s">
        <v>2233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2234</v>
      </c>
      <c r="B1108" s="2" t="s">
        <v>2235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2236</v>
      </c>
      <c r="B1109" s="2" t="s">
        <v>2237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2238</v>
      </c>
      <c r="B1110" s="2" t="s">
        <v>2239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2240</v>
      </c>
      <c r="B1111" s="2" t="s">
        <v>2241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2242</v>
      </c>
      <c r="B1112" s="2" t="s">
        <v>2243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2244</v>
      </c>
      <c r="B1113" s="2" t="s">
        <v>2245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2246</v>
      </c>
      <c r="B1114" s="2" t="s">
        <v>2247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2248</v>
      </c>
      <c r="B1115" s="2" t="s">
        <v>2249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2250</v>
      </c>
      <c r="B1116" s="2" t="s">
        <v>2251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2252</v>
      </c>
      <c r="B1117" s="2" t="s">
        <v>2253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2254</v>
      </c>
      <c r="B1118" s="2" t="s">
        <v>2255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2256</v>
      </c>
      <c r="B1119" s="2" t="s">
        <v>2257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2258</v>
      </c>
      <c r="B1120" s="2" t="s">
        <v>2259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2260</v>
      </c>
      <c r="B1121" s="2" t="s">
        <v>2261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2262</v>
      </c>
      <c r="B1122" s="2" t="s">
        <v>2263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2264</v>
      </c>
      <c r="B1123" s="2" t="s">
        <v>2265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2266</v>
      </c>
      <c r="B1124" s="2" t="s">
        <v>2267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2268</v>
      </c>
      <c r="B1125" s="2" t="s">
        <v>2269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2270</v>
      </c>
      <c r="B1126" s="2" t="s">
        <v>2271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2272</v>
      </c>
      <c r="B1127" s="2" t="s">
        <v>2273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2274</v>
      </c>
      <c r="B1128" s="2" t="s">
        <v>2275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2276</v>
      </c>
      <c r="B1129" s="2" t="s">
        <v>2277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2278</v>
      </c>
      <c r="B1130" s="2" t="s">
        <v>2279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2280</v>
      </c>
      <c r="B1131" s="2" t="s">
        <v>2281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2282</v>
      </c>
      <c r="B1132" s="2" t="s">
        <v>2283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2284</v>
      </c>
      <c r="B1133" s="2" t="s">
        <v>2285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2286</v>
      </c>
      <c r="B1134" s="2" t="s">
        <v>2287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2288</v>
      </c>
      <c r="B1135" s="2" t="s">
        <v>2289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2290</v>
      </c>
      <c r="B1136" s="2" t="s">
        <v>2291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2292</v>
      </c>
      <c r="B1137" s="2" t="s">
        <v>2293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2294</v>
      </c>
      <c r="B1138" s="2" t="s">
        <v>2295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2296</v>
      </c>
      <c r="B1139" s="2" t="s">
        <v>2297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2298</v>
      </c>
      <c r="B1140" s="2" t="s">
        <v>2299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2300</v>
      </c>
      <c r="B1141" s="2" t="s">
        <v>2301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2302</v>
      </c>
      <c r="B1142" s="2" t="s">
        <v>2303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2304</v>
      </c>
      <c r="B1143" s="2" t="s">
        <v>2305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2306</v>
      </c>
      <c r="B1144" s="2" t="s">
        <v>2307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2308</v>
      </c>
      <c r="B1145" s="2" t="s">
        <v>2309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2310</v>
      </c>
      <c r="B1146" s="2" t="s">
        <v>2311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2312</v>
      </c>
      <c r="B1147" s="2" t="s">
        <v>2313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2314</v>
      </c>
      <c r="B1148" s="2" t="s">
        <v>2315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2316</v>
      </c>
      <c r="B1149" s="2" t="s">
        <v>2317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2318</v>
      </c>
      <c r="B1150" s="2" t="s">
        <v>2319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2320</v>
      </c>
      <c r="B1151" s="2" t="s">
        <v>2321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2322</v>
      </c>
      <c r="B1152" s="2" t="s">
        <v>2323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2324</v>
      </c>
      <c r="B1153" s="2" t="s">
        <v>2325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2326</v>
      </c>
      <c r="B1154" s="2" t="s">
        <v>2327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2328</v>
      </c>
      <c r="B1155" s="2" t="s">
        <v>2329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2330</v>
      </c>
      <c r="B1156" s="2" t="s">
        <v>2331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2332</v>
      </c>
      <c r="B1157" s="2" t="s">
        <v>2333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2334</v>
      </c>
      <c r="B1158" s="2" t="s">
        <v>2335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2336</v>
      </c>
      <c r="B1159" s="2" t="s">
        <v>2337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2338</v>
      </c>
      <c r="B1160" s="2" t="s">
        <v>2339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2340</v>
      </c>
      <c r="B1161" s="2" t="s">
        <v>2341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2342</v>
      </c>
      <c r="B1162" s="2" t="s">
        <v>2343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2344</v>
      </c>
      <c r="B1163" s="2" t="s">
        <v>2345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2346</v>
      </c>
      <c r="B1164" s="2" t="s">
        <v>2347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2348</v>
      </c>
      <c r="B1165" s="2" t="s">
        <v>2349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2350</v>
      </c>
      <c r="B1166" s="2" t="s">
        <v>2351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2352</v>
      </c>
      <c r="B1167" s="2" t="s">
        <v>2353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2354</v>
      </c>
      <c r="B1168" s="2" t="s">
        <v>2355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2356</v>
      </c>
      <c r="B1169" s="2" t="s">
        <v>2357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2358</v>
      </c>
      <c r="B1170" s="2" t="s">
        <v>2359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2360</v>
      </c>
      <c r="B1171" s="2" t="s">
        <v>2361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2362</v>
      </c>
      <c r="B1172" s="2" t="s">
        <v>2363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2364</v>
      </c>
      <c r="B1173" s="2" t="s">
        <v>2365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2366</v>
      </c>
      <c r="B1174" s="2" t="s">
        <v>2367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2368</v>
      </c>
      <c r="B1175" s="2" t="s">
        <v>2369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2370</v>
      </c>
      <c r="B1176" s="2" t="s">
        <v>2371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2372</v>
      </c>
      <c r="B1177" s="2" t="s">
        <v>2373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2374</v>
      </c>
      <c r="B1178" s="2" t="s">
        <v>2375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2376</v>
      </c>
      <c r="B1179" s="2" t="s">
        <v>2377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2378</v>
      </c>
      <c r="B1180" s="2" t="s">
        <v>2379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2380</v>
      </c>
      <c r="B1181" s="2" t="s">
        <v>2381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2382</v>
      </c>
      <c r="B1182" s="2" t="s">
        <v>2383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2384</v>
      </c>
      <c r="B1183" s="2" t="s">
        <v>2385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2386</v>
      </c>
      <c r="B1184" s="2" t="s">
        <v>2387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2388</v>
      </c>
      <c r="B1185" s="2" t="s">
        <v>2389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2390</v>
      </c>
      <c r="B1186" s="2" t="s">
        <v>2391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2392</v>
      </c>
      <c r="B1187" s="2" t="s">
        <v>2393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2394</v>
      </c>
      <c r="B1188" s="2" t="s">
        <v>2395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2396</v>
      </c>
      <c r="B1189" s="2" t="s">
        <v>2397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2398</v>
      </c>
      <c r="B1190" s="2" t="s">
        <v>2399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2400</v>
      </c>
      <c r="B1191" s="2" t="s">
        <v>2401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2402</v>
      </c>
      <c r="B1192" s="2" t="s">
        <v>2403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2404</v>
      </c>
      <c r="B1193" s="2" t="s">
        <v>2405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2406</v>
      </c>
      <c r="B1194" s="2" t="s">
        <v>2407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2408</v>
      </c>
      <c r="B1195" s="2" t="s">
        <v>2409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2410</v>
      </c>
      <c r="B1196" s="2" t="s">
        <v>2411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2412</v>
      </c>
      <c r="B1197" s="2" t="s">
        <v>2413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2414</v>
      </c>
      <c r="B1198" s="2" t="s">
        <v>2415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2416</v>
      </c>
      <c r="B1199" s="2" t="s">
        <v>2417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2418</v>
      </c>
      <c r="B1200" s="2" t="s">
        <v>2419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2420</v>
      </c>
      <c r="B1201" s="2" t="s">
        <v>2421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2422</v>
      </c>
      <c r="B1202" s="2" t="s">
        <v>2423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2424</v>
      </c>
      <c r="B1203" s="2" t="s">
        <v>2425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2426</v>
      </c>
      <c r="B1204" s="2" t="s">
        <v>2427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2428</v>
      </c>
      <c r="B1205" s="2" t="s">
        <v>2429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2430</v>
      </c>
      <c r="B1206" s="2" t="s">
        <v>2431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2432</v>
      </c>
      <c r="B1207" s="2" t="s">
        <v>2433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2434</v>
      </c>
      <c r="B1208" s="2" t="s">
        <v>2435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2436</v>
      </c>
      <c r="B1209" s="2" t="s">
        <v>2437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2438</v>
      </c>
      <c r="B1210" s="2" t="s">
        <v>2439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2440</v>
      </c>
      <c r="B1211" s="2" t="s">
        <v>2441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2442</v>
      </c>
      <c r="B1212" s="2" t="s">
        <v>2443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2444</v>
      </c>
      <c r="B1213" s="2" t="s">
        <v>2445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2446</v>
      </c>
      <c r="B1214" s="2" t="s">
        <v>2447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2448</v>
      </c>
      <c r="B1215" s="2" t="s">
        <v>2449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2450</v>
      </c>
      <c r="B1216" s="2" t="s">
        <v>2451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2452</v>
      </c>
      <c r="B1217" s="2" t="s">
        <v>2453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2454</v>
      </c>
      <c r="B1218" s="2" t="s">
        <v>2455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2456</v>
      </c>
      <c r="B1219" s="2" t="s">
        <v>2457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2458</v>
      </c>
      <c r="B1220" s="2" t="s">
        <v>2459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2460</v>
      </c>
      <c r="B1221" s="2" t="s">
        <v>2461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2462</v>
      </c>
      <c r="B1222" s="2" t="s">
        <v>2463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2464</v>
      </c>
      <c r="B1223" s="2" t="s">
        <v>2465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2466</v>
      </c>
      <c r="B1224" s="2" t="s">
        <v>2467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2468</v>
      </c>
      <c r="B1225" s="2" t="s">
        <v>2469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2470</v>
      </c>
      <c r="B1226" s="2" t="s">
        <v>2471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2472</v>
      </c>
      <c r="B1227" s="2" t="s">
        <v>2473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2474</v>
      </c>
      <c r="B1228" s="2" t="s">
        <v>2475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2476</v>
      </c>
      <c r="B1229" s="2" t="s">
        <v>2477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2478</v>
      </c>
      <c r="B1230" s="2" t="s">
        <v>2479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2480</v>
      </c>
      <c r="B1231" s="2" t="s">
        <v>2481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2482</v>
      </c>
      <c r="B1232" s="2" t="s">
        <v>2483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2484</v>
      </c>
      <c r="B1233" s="2" t="s">
        <v>2485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2486</v>
      </c>
      <c r="B1234" s="2" t="s">
        <v>2487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2488</v>
      </c>
      <c r="B1235" s="2" t="s">
        <v>2489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2490</v>
      </c>
      <c r="B1236" s="2" t="s">
        <v>2491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2492</v>
      </c>
      <c r="B1237" s="2" t="s">
        <v>2493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2494</v>
      </c>
      <c r="B1238" s="2" t="s">
        <v>2495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2496</v>
      </c>
      <c r="B1239" s="2" t="s">
        <v>2497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2498</v>
      </c>
      <c r="B1240" s="2" t="s">
        <v>2499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2500</v>
      </c>
      <c r="B1241" s="2" t="s">
        <v>2501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2502</v>
      </c>
      <c r="B1242" s="2" t="s">
        <v>2503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2504</v>
      </c>
      <c r="B1243" s="2" t="s">
        <v>2505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2506</v>
      </c>
      <c r="B1244" s="2" t="s">
        <v>2507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2508</v>
      </c>
      <c r="B1245" s="2" t="s">
        <v>2509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2510</v>
      </c>
      <c r="B1246" s="2" t="s">
        <v>2511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2512</v>
      </c>
      <c r="B1247" s="2" t="s">
        <v>2513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2514</v>
      </c>
      <c r="B1248" s="2" t="s">
        <v>2515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2516</v>
      </c>
      <c r="B1249" s="2" t="s">
        <v>2517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2518</v>
      </c>
      <c r="B1250" s="2" t="s">
        <v>2519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2520</v>
      </c>
      <c r="B1251" s="2" t="s">
        <v>2521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2522</v>
      </c>
      <c r="B1252" s="2" t="s">
        <v>2523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2524</v>
      </c>
      <c r="B1253" s="2" t="s">
        <v>2525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2526</v>
      </c>
      <c r="B1254" s="2" t="s">
        <v>2527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2528</v>
      </c>
      <c r="B1255" s="2" t="s">
        <v>2529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2530</v>
      </c>
      <c r="B1256" s="2" t="s">
        <v>2531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2532</v>
      </c>
      <c r="B1257" s="2" t="s">
        <v>2533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2534</v>
      </c>
      <c r="B1258" s="2" t="s">
        <v>2535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2536</v>
      </c>
      <c r="B1259" s="2" t="s">
        <v>2537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2538</v>
      </c>
      <c r="B1260" s="2" t="s">
        <v>2539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2540</v>
      </c>
      <c r="B1261" s="2" t="s">
        <v>2541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2542</v>
      </c>
      <c r="B1262" s="2" t="s">
        <v>2543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2544</v>
      </c>
      <c r="B1263" s="2" t="s">
        <v>2545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2546</v>
      </c>
      <c r="B1264" s="2" t="s">
        <v>2547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2548</v>
      </c>
      <c r="B1265" s="2" t="s">
        <v>2549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2550</v>
      </c>
      <c r="B1266" s="2" t="s">
        <v>2551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2552</v>
      </c>
      <c r="B1267" s="2" t="s">
        <v>2553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2554</v>
      </c>
      <c r="B1268" s="2" t="s">
        <v>2555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2556</v>
      </c>
      <c r="B1269" s="2" t="s">
        <v>2557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2558</v>
      </c>
      <c r="B1270" s="2" t="s">
        <v>2559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2560</v>
      </c>
      <c r="B1271" s="2" t="s">
        <v>2561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2562</v>
      </c>
      <c r="B1272" s="2" t="s">
        <v>2563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2564</v>
      </c>
      <c r="B1273" s="2" t="s">
        <v>2565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2566</v>
      </c>
      <c r="B1274" s="2" t="s">
        <v>2567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2568</v>
      </c>
      <c r="B1275" s="2" t="s">
        <v>2569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2570</v>
      </c>
      <c r="B1276" s="2" t="s">
        <v>2571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2572</v>
      </c>
      <c r="B1277" s="2" t="s">
        <v>2573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2574</v>
      </c>
      <c r="B1278" s="2" t="s">
        <v>2575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2576</v>
      </c>
      <c r="B1279" s="2" t="s">
        <v>2577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2578</v>
      </c>
      <c r="B1280" s="2" t="s">
        <v>2579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2580</v>
      </c>
      <c r="B1281" s="2" t="s">
        <v>2581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2582</v>
      </c>
      <c r="B1282" s="2" t="s">
        <v>2583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2584</v>
      </c>
      <c r="B1283" s="2" t="s">
        <v>2585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2586</v>
      </c>
      <c r="B1284" s="2" t="s">
        <v>2587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2588</v>
      </c>
      <c r="B1285" s="2" t="s">
        <v>2589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2590</v>
      </c>
      <c r="B1286" s="2" t="s">
        <v>2591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2592</v>
      </c>
      <c r="B1287" s="2" t="s">
        <v>2593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2594</v>
      </c>
      <c r="B1288" s="2" t="s">
        <v>2595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2596</v>
      </c>
      <c r="B1289" s="2" t="s">
        <v>2597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2598</v>
      </c>
      <c r="B1290" s="2" t="s">
        <v>2599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2600</v>
      </c>
      <c r="B1291" s="2" t="s">
        <v>2601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2602</v>
      </c>
      <c r="B1292" s="2" t="s">
        <v>2603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2604</v>
      </c>
      <c r="B1293" s="2" t="s">
        <v>2605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2606</v>
      </c>
      <c r="B1294" s="2" t="s">
        <v>2607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2608</v>
      </c>
      <c r="B1295" s="2" t="s">
        <v>2609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2610</v>
      </c>
      <c r="B1296" s="2" t="s">
        <v>2611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2612</v>
      </c>
      <c r="B1297" s="2" t="s">
        <v>2613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2614</v>
      </c>
      <c r="B1298" s="2" t="s">
        <v>2615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2616</v>
      </c>
      <c r="B1299" s="2" t="s">
        <v>2617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2618</v>
      </c>
      <c r="B1300" s="2" t="s">
        <v>2619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2620</v>
      </c>
      <c r="B1301" s="2" t="s">
        <v>2621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2622</v>
      </c>
      <c r="B1302" s="2" t="s">
        <v>2623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2624</v>
      </c>
      <c r="B1303" s="2" t="s">
        <v>2625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2626</v>
      </c>
      <c r="B1304" s="2" t="s">
        <v>2627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2628</v>
      </c>
      <c r="B1305" s="2" t="s">
        <v>2629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2630</v>
      </c>
      <c r="B1306" s="2" t="s">
        <v>2631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2632</v>
      </c>
      <c r="B1307" s="2" t="s">
        <v>2633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2634</v>
      </c>
      <c r="B1308" s="2" t="s">
        <v>2635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2636</v>
      </c>
      <c r="B1309" s="2" t="s">
        <v>2637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2638</v>
      </c>
      <c r="B1310" s="2" t="s">
        <v>2639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2640</v>
      </c>
      <c r="B1311" s="2" t="s">
        <v>2641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2642</v>
      </c>
      <c r="B1312" s="2" t="s">
        <v>2643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2644</v>
      </c>
      <c r="B1313" s="2" t="s">
        <v>2645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2646</v>
      </c>
      <c r="B1314" s="2" t="s">
        <v>2647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2648</v>
      </c>
      <c r="B1315" s="2" t="s">
        <v>2649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2650</v>
      </c>
      <c r="B1316" s="2" t="s">
        <v>2651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2652</v>
      </c>
      <c r="B1317" s="2" t="s">
        <v>2653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2654</v>
      </c>
      <c r="B1318" s="2" t="s">
        <v>2655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2656</v>
      </c>
      <c r="B1319" s="2" t="s">
        <v>2657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2658</v>
      </c>
      <c r="B1320" s="2" t="s">
        <v>2659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2660</v>
      </c>
      <c r="B1321" s="2" t="s">
        <v>2661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2662</v>
      </c>
      <c r="B1322" s="2" t="s">
        <v>2663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2664</v>
      </c>
      <c r="B1323" s="2" t="s">
        <v>2665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2666</v>
      </c>
      <c r="B1324" s="2" t="s">
        <v>2667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2668</v>
      </c>
      <c r="B1325" s="2" t="s">
        <v>2669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2670</v>
      </c>
      <c r="B1326" s="2" t="s">
        <v>2671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2672</v>
      </c>
      <c r="B1327" s="2" t="s">
        <v>2673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2674</v>
      </c>
      <c r="B1328" s="2" t="s">
        <v>2675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2676</v>
      </c>
      <c r="B1329" s="2" t="s">
        <v>2677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2678</v>
      </c>
      <c r="B1330" s="2" t="s">
        <v>2679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2680</v>
      </c>
      <c r="B1331" s="2" t="s">
        <v>2681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2682</v>
      </c>
      <c r="B1332" s="2" t="s">
        <v>2683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2684</v>
      </c>
      <c r="B1333" s="2" t="s">
        <v>2685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2686</v>
      </c>
      <c r="B1334" s="2" t="s">
        <v>2687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2688</v>
      </c>
      <c r="B1335" s="2" t="s">
        <v>2689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2690</v>
      </c>
      <c r="B1336" s="2" t="s">
        <v>2691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2692</v>
      </c>
      <c r="B1337" s="2" t="s">
        <v>2693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2694</v>
      </c>
      <c r="B1338" s="2" t="s">
        <v>2695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2696</v>
      </c>
      <c r="B1339" s="2" t="s">
        <v>2697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2698</v>
      </c>
      <c r="B1340" s="2" t="s">
        <v>2699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2700</v>
      </c>
      <c r="B1341" s="2" t="s">
        <v>2701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2702</v>
      </c>
      <c r="B1342" s="2" t="s">
        <v>2703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2704</v>
      </c>
      <c r="B1343" s="2" t="s">
        <v>2705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2706</v>
      </c>
      <c r="B1344" s="2" t="s">
        <v>2707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2708</v>
      </c>
      <c r="B1345" s="2" t="s">
        <v>2709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2710</v>
      </c>
      <c r="B1346" s="2" t="s">
        <v>2711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2712</v>
      </c>
      <c r="B1347" s="2" t="s">
        <v>2713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2714</v>
      </c>
      <c r="B1348" s="2" t="s">
        <v>2715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2716</v>
      </c>
      <c r="B1349" s="2" t="s">
        <v>2717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2718</v>
      </c>
      <c r="B1350" s="2" t="s">
        <v>2719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2720</v>
      </c>
      <c r="B1351" s="2" t="s">
        <v>2721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2722</v>
      </c>
      <c r="B1352" s="2" t="s">
        <v>2723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2724</v>
      </c>
      <c r="B1353" s="2" t="s">
        <v>2725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2726</v>
      </c>
      <c r="B1354" s="2" t="s">
        <v>2727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2728</v>
      </c>
      <c r="B1355" s="2" t="s">
        <v>2729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2730</v>
      </c>
      <c r="B1356" s="2" t="s">
        <v>2731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2732</v>
      </c>
      <c r="B1357" s="2" t="s">
        <v>2733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2734</v>
      </c>
      <c r="B1358" s="2" t="s">
        <v>2735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2736</v>
      </c>
      <c r="B1359" s="2" t="s">
        <v>2737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2738</v>
      </c>
      <c r="B1360" s="2" t="s">
        <v>2739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2740</v>
      </c>
      <c r="B1361" s="2" t="s">
        <v>2741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2742</v>
      </c>
      <c r="B1362" s="2" t="s">
        <v>2743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2744</v>
      </c>
      <c r="B1363" s="2" t="s">
        <v>2745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2746</v>
      </c>
      <c r="B1364" s="2" t="s">
        <v>2747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2748</v>
      </c>
      <c r="B1365" s="2" t="s">
        <v>2749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2750</v>
      </c>
      <c r="B1366" s="2" t="s">
        <v>2751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2752</v>
      </c>
      <c r="B1367" s="2" t="s">
        <v>2753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2754</v>
      </c>
      <c r="B1368" s="2" t="s">
        <v>2755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2756</v>
      </c>
      <c r="B1369" s="2" t="s">
        <v>2757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2758</v>
      </c>
      <c r="B1370" s="2" t="s">
        <v>2759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2760</v>
      </c>
      <c r="B1371" s="2" t="s">
        <v>2761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2762</v>
      </c>
      <c r="B1372" s="2" t="s">
        <v>2763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2764</v>
      </c>
      <c r="B1373" s="2" t="s">
        <v>2765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2766</v>
      </c>
      <c r="B1374" s="2" t="s">
        <v>2767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2768</v>
      </c>
      <c r="B1375" s="2" t="s">
        <v>2769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2770</v>
      </c>
      <c r="B1376" s="2" t="s">
        <v>2771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2772</v>
      </c>
      <c r="B1377" s="2" t="s">
        <v>2773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2774</v>
      </c>
      <c r="B1378" s="2" t="s">
        <v>2775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2776</v>
      </c>
      <c r="B1379" s="2" t="s">
        <v>2777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2778</v>
      </c>
      <c r="B1380" s="2" t="s">
        <v>2779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2780</v>
      </c>
      <c r="B1381" s="2" t="s">
        <v>2781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2782</v>
      </c>
      <c r="B1382" s="2" t="s">
        <v>2783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2784</v>
      </c>
      <c r="B1383" s="2" t="s">
        <v>2785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2786</v>
      </c>
      <c r="B1384" s="2" t="s">
        <v>2787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2788</v>
      </c>
      <c r="B1385" s="2" t="s">
        <v>2789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2790</v>
      </c>
      <c r="B1386" s="2" t="s">
        <v>2791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2792</v>
      </c>
      <c r="B1387" s="2" t="s">
        <v>2793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2794</v>
      </c>
      <c r="B1388" s="2" t="s">
        <v>2795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2796</v>
      </c>
      <c r="B1389" s="2" t="s">
        <v>2797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2798</v>
      </c>
      <c r="B1390" s="2" t="s">
        <v>2799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2800</v>
      </c>
      <c r="B1391" s="2" t="s">
        <v>2801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2802</v>
      </c>
      <c r="B1392" s="2" t="s">
        <v>2803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2804</v>
      </c>
      <c r="B1393" s="2" t="s">
        <v>2805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2806</v>
      </c>
      <c r="B1394" s="2" t="s">
        <v>2807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2808</v>
      </c>
      <c r="B1395" s="2" t="s">
        <v>2809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2810</v>
      </c>
      <c r="B1396" s="2" t="s">
        <v>2811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2812</v>
      </c>
      <c r="B1397" s="2" t="s">
        <v>2813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2814</v>
      </c>
      <c r="B1398" s="2" t="s">
        <v>2815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2816</v>
      </c>
      <c r="B1399" s="2" t="s">
        <v>2817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2818</v>
      </c>
      <c r="B1400" s="2" t="s">
        <v>2819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2820</v>
      </c>
      <c r="B1401" s="2" t="s">
        <v>2821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2822</v>
      </c>
      <c r="B1402" s="2" t="s">
        <v>2823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2824</v>
      </c>
      <c r="B1403" s="2" t="s">
        <v>2825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2826</v>
      </c>
      <c r="B1404" s="2" t="s">
        <v>2827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2828</v>
      </c>
      <c r="B1405" s="2" t="s">
        <v>2829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2830</v>
      </c>
      <c r="B1406" s="2" t="s">
        <v>2831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2832</v>
      </c>
      <c r="B1407" s="2" t="s">
        <v>2833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2834</v>
      </c>
      <c r="B1408" s="2" t="s">
        <v>2835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2836</v>
      </c>
      <c r="B1409" s="2" t="s">
        <v>2837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2838</v>
      </c>
      <c r="B1410" s="2" t="s">
        <v>2839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2840</v>
      </c>
      <c r="B1411" s="2" t="s">
        <v>2841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2842</v>
      </c>
      <c r="B1412" s="2" t="s">
        <v>2843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2844</v>
      </c>
      <c r="B1413" s="2" t="s">
        <v>2845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2846</v>
      </c>
      <c r="B1414" s="2" t="s">
        <v>2847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2848</v>
      </c>
      <c r="B1415" s="2" t="s">
        <v>2849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2850</v>
      </c>
      <c r="B1416" s="2" t="s">
        <v>2851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2852</v>
      </c>
      <c r="B1417" s="2" t="s">
        <v>2853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2854</v>
      </c>
      <c r="B1418" s="2" t="s">
        <v>2855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2856</v>
      </c>
      <c r="B1419" s="2" t="s">
        <v>2857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2858</v>
      </c>
      <c r="B1420" s="2" t="s">
        <v>2859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2860</v>
      </c>
      <c r="B1421" s="2" t="s">
        <v>2861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2862</v>
      </c>
      <c r="B1422" s="2" t="s">
        <v>2863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2864</v>
      </c>
      <c r="B1423" s="2" t="s">
        <v>2865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2866</v>
      </c>
      <c r="B1424" s="2" t="s">
        <v>2867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2868</v>
      </c>
      <c r="B1425" s="2" t="s">
        <v>2869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2870</v>
      </c>
      <c r="B1426" s="2" t="s">
        <v>2871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2872</v>
      </c>
      <c r="B1427" s="2" t="s">
        <v>2873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2874</v>
      </c>
      <c r="B1428" s="2" t="s">
        <v>2875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2876</v>
      </c>
      <c r="B1429" s="2" t="s">
        <v>2877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2878</v>
      </c>
      <c r="B1430" s="2" t="s">
        <v>2879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2880</v>
      </c>
      <c r="B1431" s="2" t="s">
        <v>2881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2882</v>
      </c>
      <c r="B1432" s="2" t="s">
        <v>2883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2884</v>
      </c>
      <c r="B1433" s="2" t="s">
        <v>2885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2886</v>
      </c>
      <c r="B1434" s="2" t="s">
        <v>2887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2888</v>
      </c>
      <c r="B1435" s="2" t="s">
        <v>2889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2890</v>
      </c>
      <c r="B1436" s="2" t="s">
        <v>2891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2892</v>
      </c>
      <c r="B1437" s="2" t="s">
        <v>2893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2894</v>
      </c>
      <c r="B1438" s="2" t="s">
        <v>2895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2896</v>
      </c>
      <c r="B1439" s="2" t="s">
        <v>2897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2898</v>
      </c>
      <c r="B1440" s="2" t="s">
        <v>2899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2900</v>
      </c>
      <c r="B1441" s="2" t="s">
        <v>2901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2902</v>
      </c>
      <c r="B1442" s="2" t="s">
        <v>2903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2904</v>
      </c>
      <c r="B1443" s="2" t="s">
        <v>2905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2906</v>
      </c>
      <c r="B1444" s="2" t="s">
        <v>2907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2908</v>
      </c>
      <c r="B1445" s="2" t="s">
        <v>2909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2910</v>
      </c>
      <c r="B1446" s="2" t="s">
        <v>2911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2912</v>
      </c>
      <c r="B1447" s="2" t="s">
        <v>2913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2914</v>
      </c>
      <c r="B1448" s="2" t="s">
        <v>2915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2916</v>
      </c>
      <c r="B1449" s="2" t="s">
        <v>2917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2918</v>
      </c>
      <c r="B1450" s="2" t="s">
        <v>2919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2920</v>
      </c>
      <c r="B1451" s="2" t="s">
        <v>2921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2922</v>
      </c>
      <c r="B1452" s="2" t="s">
        <v>2923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2924</v>
      </c>
      <c r="B1453" s="2" t="s">
        <v>2925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2926</v>
      </c>
      <c r="B1454" s="2" t="s">
        <v>2927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2928</v>
      </c>
      <c r="B1455" s="2" t="s">
        <v>2929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2930</v>
      </c>
      <c r="B1456" s="2" t="s">
        <v>2931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2932</v>
      </c>
      <c r="B1457" s="2" t="s">
        <v>2933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2934</v>
      </c>
      <c r="B1458" s="2" t="s">
        <v>2935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2936</v>
      </c>
      <c r="B1459" s="2" t="s">
        <v>2937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2938</v>
      </c>
      <c r="B1460" s="2" t="s">
        <v>2939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2940</v>
      </c>
      <c r="B1461" s="2" t="s">
        <v>2941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2942</v>
      </c>
      <c r="B1462" s="2" t="s">
        <v>2943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2944</v>
      </c>
      <c r="B1463" s="2" t="s">
        <v>2945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2946</v>
      </c>
      <c r="B1464" s="2" t="s">
        <v>2947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2948</v>
      </c>
      <c r="B1465" s="2" t="s">
        <v>2949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2950</v>
      </c>
      <c r="B1466" s="2" t="s">
        <v>2951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2952</v>
      </c>
      <c r="B1467" s="2" t="s">
        <v>2953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2954</v>
      </c>
      <c r="B1468" s="2" t="s">
        <v>2955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2956</v>
      </c>
      <c r="B1469" s="2" t="s">
        <v>2957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2958</v>
      </c>
      <c r="B1470" s="2" t="s">
        <v>2959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2960</v>
      </c>
      <c r="B1471" s="2" t="s">
        <v>2961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2962</v>
      </c>
      <c r="B1472" s="2" t="s">
        <v>2963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2964</v>
      </c>
      <c r="B1473" s="2" t="s">
        <v>2965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2966</v>
      </c>
      <c r="B1474" s="2" t="s">
        <v>2967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2968</v>
      </c>
      <c r="B1475" s="2" t="s">
        <v>2969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2970</v>
      </c>
      <c r="B1476" s="2" t="s">
        <v>2971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2972</v>
      </c>
      <c r="B1477" s="2" t="s">
        <v>2973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2974</v>
      </c>
      <c r="B1478" s="2" t="s">
        <v>2975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2976</v>
      </c>
      <c r="B1479" s="2" t="s">
        <v>2977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2978</v>
      </c>
      <c r="B1480" s="2" t="s">
        <v>2979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2980</v>
      </c>
      <c r="B1481" s="2" t="s">
        <v>2981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2982</v>
      </c>
      <c r="B1482" s="2" t="s">
        <v>2983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2984</v>
      </c>
      <c r="B1483" s="2" t="s">
        <v>2985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2986</v>
      </c>
      <c r="B1484" s="2" t="s">
        <v>2987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2988</v>
      </c>
      <c r="B1485" s="2" t="s">
        <v>2989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2990</v>
      </c>
      <c r="B1486" s="2" t="s">
        <v>2991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2992</v>
      </c>
      <c r="B1487" s="2" t="s">
        <v>2993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2994</v>
      </c>
      <c r="B1488" s="2" t="s">
        <v>2995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2996</v>
      </c>
      <c r="B1489" s="2" t="s">
        <v>2997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2998</v>
      </c>
      <c r="B1490" s="2" t="s">
        <v>2999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3000</v>
      </c>
      <c r="B1491" s="2" t="s">
        <v>3001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3002</v>
      </c>
      <c r="B1492" s="2" t="s">
        <v>3003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3004</v>
      </c>
      <c r="B1493" s="2" t="s">
        <v>3005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3006</v>
      </c>
      <c r="B1494" s="2" t="s">
        <v>3007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3008</v>
      </c>
      <c r="B1495" s="2" t="s">
        <v>3009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3010</v>
      </c>
      <c r="B1496" s="2" t="s">
        <v>3011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3012</v>
      </c>
      <c r="B1497" s="2" t="s">
        <v>3013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3014</v>
      </c>
      <c r="B1498" s="2" t="s">
        <v>3015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3016</v>
      </c>
      <c r="B1499" s="2" t="s">
        <v>3017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3018</v>
      </c>
      <c r="B1500" s="2" t="s">
        <v>3019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3020</v>
      </c>
      <c r="B1501" s="2" t="s">
        <v>3021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3022</v>
      </c>
      <c r="B1502" s="2" t="s">
        <v>3023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3024</v>
      </c>
      <c r="B1503" s="2" t="s">
        <v>3025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3026</v>
      </c>
      <c r="B1504" s="2" t="s">
        <v>3027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3028</v>
      </c>
      <c r="B1505" s="2" t="s">
        <v>3029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3030</v>
      </c>
      <c r="B1506" s="2" t="s">
        <v>3031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3032</v>
      </c>
      <c r="B1507" s="2" t="s">
        <v>3033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3034</v>
      </c>
      <c r="B1508" s="2" t="s">
        <v>3035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3036</v>
      </c>
      <c r="B1509" s="2" t="s">
        <v>3037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3038</v>
      </c>
      <c r="B1510" s="2" t="s">
        <v>3039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3040</v>
      </c>
      <c r="B1511" s="2" t="s">
        <v>3041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3042</v>
      </c>
      <c r="B1512" s="2" t="s">
        <v>3043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3044</v>
      </c>
      <c r="B1513" s="2" t="s">
        <v>3045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3046</v>
      </c>
      <c r="B1514" s="2" t="s">
        <v>3047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3048</v>
      </c>
      <c r="B1515" s="2" t="s">
        <v>3049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3050</v>
      </c>
      <c r="B1516" s="2" t="s">
        <v>3051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3052</v>
      </c>
      <c r="B1517" s="2" t="s">
        <v>3053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3054</v>
      </c>
      <c r="B1518" s="2" t="s">
        <v>3055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3056</v>
      </c>
      <c r="B1519" s="2" t="s">
        <v>3057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3058</v>
      </c>
      <c r="B1520" s="2" t="s">
        <v>3059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3060</v>
      </c>
      <c r="B1521" s="2" t="s">
        <v>3061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3062</v>
      </c>
      <c r="B1522" s="2" t="s">
        <v>3063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3064</v>
      </c>
      <c r="B1523" s="2" t="s">
        <v>3065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3066</v>
      </c>
      <c r="B1524" s="2" t="s">
        <v>3067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3068</v>
      </c>
      <c r="B1525" s="2" t="s">
        <v>3069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3070</v>
      </c>
      <c r="B1526" s="2" t="s">
        <v>3071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3072</v>
      </c>
      <c r="B1527" s="2" t="s">
        <v>3073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3074</v>
      </c>
      <c r="B1528" s="2" t="s">
        <v>3075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3076</v>
      </c>
      <c r="B1529" s="2" t="s">
        <v>3077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3078</v>
      </c>
      <c r="B1530" s="2" t="s">
        <v>3079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3080</v>
      </c>
      <c r="B1531" s="2" t="s">
        <v>3081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3082</v>
      </c>
      <c r="B1532" s="2" t="s">
        <v>3083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3084</v>
      </c>
      <c r="B1533" s="2" t="s">
        <v>3085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3086</v>
      </c>
      <c r="B1534" s="2" t="s">
        <v>3087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3088</v>
      </c>
      <c r="B1535" s="2" t="s">
        <v>3089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3090</v>
      </c>
      <c r="B1536" s="2" t="s">
        <v>3091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3092</v>
      </c>
      <c r="B1537" s="2" t="s">
        <v>3093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3094</v>
      </c>
      <c r="B1538" s="2" t="s">
        <v>3095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3096</v>
      </c>
      <c r="B1539" s="2" t="s">
        <v>3097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3098</v>
      </c>
      <c r="B1540" s="2" t="s">
        <v>3099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3100</v>
      </c>
      <c r="B1541" s="2" t="s">
        <v>3101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3102</v>
      </c>
      <c r="B1542" s="2" t="s">
        <v>3103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3104</v>
      </c>
      <c r="B1543" s="2" t="s">
        <v>3105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3106</v>
      </c>
      <c r="B1544" s="2" t="s">
        <v>3107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3108</v>
      </c>
      <c r="B1545" s="2" t="s">
        <v>3109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3110</v>
      </c>
      <c r="B1546" s="2" t="s">
        <v>3111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3112</v>
      </c>
      <c r="B1547" s="2" t="s">
        <v>3113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3114</v>
      </c>
      <c r="B1548" s="2" t="s">
        <v>3115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3116</v>
      </c>
      <c r="B1549" s="2" t="s">
        <v>3117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3118</v>
      </c>
      <c r="B1550" s="2" t="s">
        <v>3119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3120</v>
      </c>
      <c r="B1551" s="2" t="s">
        <v>3121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3122</v>
      </c>
      <c r="B1552" s="2" t="s">
        <v>3123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3124</v>
      </c>
      <c r="B1553" s="2" t="s">
        <v>3125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3126</v>
      </c>
      <c r="B1554" s="2" t="s">
        <v>3127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3128</v>
      </c>
      <c r="B1555" s="2" t="s">
        <v>3129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3130</v>
      </c>
      <c r="B1556" s="2" t="s">
        <v>3131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3132</v>
      </c>
      <c r="B1557" s="2" t="s">
        <v>3133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3134</v>
      </c>
      <c r="B1558" s="2" t="s">
        <v>3135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3136</v>
      </c>
      <c r="B1559" s="2" t="s">
        <v>3137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3138</v>
      </c>
      <c r="B1560" s="2" t="s">
        <v>3139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3140</v>
      </c>
      <c r="B1561" s="2" t="s">
        <v>3141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3142</v>
      </c>
      <c r="B1562" s="2" t="s">
        <v>3143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3144</v>
      </c>
      <c r="B1563" s="2" t="s">
        <v>3145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3146</v>
      </c>
      <c r="B1564" s="2" t="s">
        <v>3147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3148</v>
      </c>
      <c r="B1565" s="2" t="s">
        <v>3149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3150</v>
      </c>
      <c r="B1566" s="2" t="s">
        <v>3151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3152</v>
      </c>
      <c r="B1567" s="2" t="s">
        <v>3153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3154</v>
      </c>
      <c r="B1568" s="2" t="s">
        <v>3155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3156</v>
      </c>
      <c r="B1569" s="2" t="s">
        <v>3157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3158</v>
      </c>
      <c r="B1570" s="2" t="s">
        <v>3159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3160</v>
      </c>
      <c r="B1571" s="2" t="s">
        <v>3161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3162</v>
      </c>
      <c r="B1572" s="2" t="s">
        <v>3163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3164</v>
      </c>
      <c r="B1573" s="2" t="s">
        <v>3165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3166</v>
      </c>
      <c r="B1574" s="2" t="s">
        <v>3167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3168</v>
      </c>
      <c r="B1575" s="2" t="s">
        <v>3169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3170</v>
      </c>
      <c r="B1576" s="2" t="s">
        <v>3171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3172</v>
      </c>
      <c r="B1577" s="2" t="s">
        <v>3173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3174</v>
      </c>
      <c r="B1578" s="2" t="s">
        <v>3175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3176</v>
      </c>
      <c r="B1579" s="2" t="s">
        <v>3177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3178</v>
      </c>
      <c r="B1580" s="2" t="s">
        <v>3179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3180</v>
      </c>
      <c r="B1581" s="2" t="s">
        <v>3181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3182</v>
      </c>
      <c r="B1582" s="2" t="s">
        <v>3183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3184</v>
      </c>
      <c r="B1583" s="2" t="s">
        <v>3185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3186</v>
      </c>
      <c r="B1584" s="2" t="s">
        <v>3187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3188</v>
      </c>
      <c r="B1585" s="2" t="s">
        <v>3189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3190</v>
      </c>
      <c r="B1586" s="2" t="s">
        <v>3191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3192</v>
      </c>
      <c r="B1587" s="2" t="s">
        <v>3193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3194</v>
      </c>
      <c r="B1588" s="2" t="s">
        <v>3195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3196</v>
      </c>
      <c r="B1589" s="2" t="s">
        <v>3197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3198</v>
      </c>
      <c r="B1590" s="2" t="s">
        <v>3199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3200</v>
      </c>
      <c r="B1591" s="2" t="s">
        <v>3201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3202</v>
      </c>
      <c r="B1592" s="2" t="s">
        <v>3203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3204</v>
      </c>
      <c r="B1593" s="2" t="s">
        <v>3205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3206</v>
      </c>
      <c r="B1594" s="2" t="s">
        <v>3207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3208</v>
      </c>
      <c r="B1595" s="2" t="s">
        <v>3209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3210</v>
      </c>
      <c r="B1596" s="2" t="s">
        <v>3211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3212</v>
      </c>
      <c r="B1597" s="2" t="s">
        <v>3213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3214</v>
      </c>
      <c r="B1598" s="2" t="s">
        <v>3215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3216</v>
      </c>
      <c r="B1599" s="2" t="s">
        <v>3217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3218</v>
      </c>
      <c r="B1600" s="2" t="s">
        <v>3219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3220</v>
      </c>
      <c r="B1601" s="2" t="s">
        <v>3221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3222</v>
      </c>
      <c r="B1602" s="2" t="s">
        <v>3223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3224</v>
      </c>
      <c r="B1603" s="2" t="s">
        <v>3225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3226</v>
      </c>
      <c r="B1604" s="2" t="s">
        <v>3227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3228</v>
      </c>
      <c r="B1605" s="2" t="s">
        <v>3229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3230</v>
      </c>
      <c r="B1606" s="2" t="s">
        <v>3231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3232</v>
      </c>
      <c r="B1607" s="2" t="s">
        <v>3233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3234</v>
      </c>
      <c r="B1608" s="2" t="s">
        <v>3235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3236</v>
      </c>
      <c r="B1609" s="2" t="s">
        <v>3237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3238</v>
      </c>
      <c r="B1610" s="2" t="s">
        <v>3239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3240</v>
      </c>
      <c r="B1611" s="2" t="s">
        <v>3241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3242</v>
      </c>
      <c r="B1612" s="2" t="s">
        <v>3243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3244</v>
      </c>
      <c r="B1613" s="2" t="s">
        <v>3245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3246</v>
      </c>
      <c r="B1614" s="2" t="s">
        <v>3247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3248</v>
      </c>
      <c r="B1615" s="2" t="s">
        <v>3249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3250</v>
      </c>
      <c r="B1616" s="2" t="s">
        <v>3251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3252</v>
      </c>
      <c r="B1617" s="2" t="s">
        <v>3253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3254</v>
      </c>
      <c r="B1618" s="5" t="s">
        <v>3255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3256</v>
      </c>
      <c r="B1619" s="2" t="s">
        <v>3257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3258</v>
      </c>
      <c r="B1620" s="2" t="s">
        <v>3259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3260</v>
      </c>
      <c r="B1621" s="2" t="s">
        <v>3261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3262</v>
      </c>
      <c r="B1622" s="2" t="s">
        <v>3263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3264</v>
      </c>
      <c r="B1623" s="2" t="s">
        <v>3265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3266</v>
      </c>
      <c r="B1624" s="2" t="s">
        <v>3267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3268</v>
      </c>
      <c r="B1625" s="2" t="s">
        <v>3269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3270</v>
      </c>
      <c r="B1626" s="2" t="s">
        <v>3271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3272</v>
      </c>
      <c r="B1627" s="2" t="s">
        <v>3273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3274</v>
      </c>
      <c r="B1628" s="2" t="s">
        <v>3275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3276</v>
      </c>
      <c r="B1629" s="2" t="s">
        <v>3277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3278</v>
      </c>
      <c r="B1630" s="2" t="s">
        <v>3279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3280</v>
      </c>
      <c r="B1631" s="2" t="s">
        <v>3281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3282</v>
      </c>
      <c r="B1632" s="2" t="s">
        <v>3283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3284</v>
      </c>
      <c r="B1633" s="2" t="s">
        <v>3285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3286</v>
      </c>
      <c r="B1634" s="2" t="s">
        <v>3287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3288</v>
      </c>
      <c r="B1635" s="2" t="s">
        <v>3289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3290</v>
      </c>
      <c r="B1636" s="2" t="s">
        <v>3291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3292</v>
      </c>
      <c r="B1637" s="2" t="s">
        <v>3293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3294</v>
      </c>
      <c r="B1638" s="2" t="s">
        <v>3295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3296</v>
      </c>
      <c r="B1639" s="2" t="s">
        <v>3297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3298</v>
      </c>
      <c r="B1640" s="2" t="s">
        <v>3299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3300</v>
      </c>
      <c r="B1641" s="2" t="s">
        <v>3301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3302</v>
      </c>
      <c r="B1642" s="2" t="s">
        <v>3303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3304</v>
      </c>
      <c r="B1643" s="2" t="s">
        <v>3305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3306</v>
      </c>
      <c r="B1644" s="2" t="s">
        <v>3307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3308</v>
      </c>
      <c r="B1645" s="2" t="s">
        <v>3309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3310</v>
      </c>
      <c r="B1646" s="2" t="s">
        <v>3311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3312</v>
      </c>
      <c r="B1647" s="2" t="s">
        <v>3313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3314</v>
      </c>
      <c r="B1648" s="2" t="s">
        <v>3315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3316</v>
      </c>
      <c r="B1649" s="2" t="s">
        <v>3317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3318</v>
      </c>
      <c r="B1650" s="2" t="s">
        <v>3319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3320</v>
      </c>
      <c r="B1651" s="2" t="s">
        <v>3321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3322</v>
      </c>
      <c r="B1652" s="2" t="s">
        <v>3323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3324</v>
      </c>
      <c r="B1653" s="2" t="s">
        <v>3325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3326</v>
      </c>
      <c r="B1654" s="2" t="s">
        <v>3327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3328</v>
      </c>
      <c r="B1655" s="2" t="s">
        <v>3329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3330</v>
      </c>
      <c r="B1656" s="2" t="s">
        <v>3331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3332</v>
      </c>
      <c r="B1657" s="2" t="s">
        <v>3333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3334</v>
      </c>
      <c r="B1658" s="2" t="s">
        <v>3335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3336</v>
      </c>
      <c r="B1659" s="2" t="s">
        <v>3337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3338</v>
      </c>
      <c r="B1660" s="2" t="s">
        <v>3339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3340</v>
      </c>
      <c r="B1661" s="2" t="s">
        <v>3341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3342</v>
      </c>
      <c r="B1662" s="2" t="s">
        <v>3343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3344</v>
      </c>
      <c r="B1663" s="2" t="s">
        <v>3345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3346</v>
      </c>
      <c r="B1664" s="2" t="s">
        <v>3347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3348</v>
      </c>
      <c r="B1665" s="2" t="s">
        <v>3349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3350</v>
      </c>
      <c r="B1666" s="2" t="s">
        <v>3351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3352</v>
      </c>
      <c r="B1667" s="2" t="s">
        <v>3353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3354</v>
      </c>
      <c r="B1668" s="2" t="s">
        <v>3355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3356</v>
      </c>
      <c r="B1669" s="2" t="s">
        <v>3357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3358</v>
      </c>
      <c r="B1670" s="2" t="s">
        <v>3359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3360</v>
      </c>
      <c r="B1671" s="2" t="s">
        <v>3361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3362</v>
      </c>
      <c r="B1672" s="2" t="s">
        <v>3363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3364</v>
      </c>
      <c r="B1673" s="2" t="s">
        <v>3365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3366</v>
      </c>
      <c r="B1674" s="2" t="s">
        <v>3367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3368</v>
      </c>
      <c r="B1675" s="2" t="s">
        <v>3369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3370</v>
      </c>
      <c r="B1676" s="2" t="s">
        <v>3371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3372</v>
      </c>
      <c r="B1677" s="2" t="s">
        <v>3373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3374</v>
      </c>
      <c r="B1678" s="2" t="s">
        <v>3375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3376</v>
      </c>
      <c r="B1679" s="2" t="s">
        <v>3377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3378</v>
      </c>
      <c r="B1680" s="2" t="s">
        <v>3379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3380</v>
      </c>
      <c r="B1681" s="2" t="s">
        <v>3381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3382</v>
      </c>
      <c r="B1682" s="2" t="s">
        <v>3383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3384</v>
      </c>
      <c r="B1683" s="2" t="s">
        <v>3385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3386</v>
      </c>
      <c r="B1684" s="2" t="s">
        <v>3387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3388</v>
      </c>
      <c r="B1685" s="2" t="s">
        <v>3389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3390</v>
      </c>
      <c r="B1686" s="2" t="s">
        <v>3391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3392</v>
      </c>
      <c r="B1687" s="2" t="s">
        <v>3393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3394</v>
      </c>
      <c r="B1688" s="2" t="s">
        <v>3395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3396</v>
      </c>
      <c r="B1689" s="2" t="s">
        <v>3397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3398</v>
      </c>
      <c r="B1690" s="2" t="s">
        <v>3399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3400</v>
      </c>
      <c r="B1691" s="2" t="s">
        <v>3401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3402</v>
      </c>
      <c r="B1692" s="2" t="s">
        <v>3403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3404</v>
      </c>
      <c r="B1693" s="2" t="s">
        <v>3405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3406</v>
      </c>
      <c r="B1694" s="2" t="s">
        <v>3407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3408</v>
      </c>
      <c r="B1695" s="2" t="s">
        <v>3409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3410</v>
      </c>
      <c r="B1696" s="2" t="s">
        <v>3411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3412</v>
      </c>
      <c r="B1697" s="2" t="s">
        <v>3413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3414</v>
      </c>
      <c r="B1698" s="2" t="s">
        <v>3415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3416</v>
      </c>
      <c r="B1699" s="2" t="s">
        <v>3417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3418</v>
      </c>
      <c r="B1700" s="2" t="s">
        <v>3419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3420</v>
      </c>
      <c r="B1701" s="2" t="s">
        <v>3421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3422</v>
      </c>
      <c r="B1702" s="2" t="s">
        <v>3423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3424</v>
      </c>
      <c r="B1703" s="2" t="s">
        <v>3425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3426</v>
      </c>
      <c r="B1704" s="2" t="s">
        <v>3427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3428</v>
      </c>
      <c r="B1705" s="2" t="s">
        <v>3429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3430</v>
      </c>
      <c r="B1706" s="2" t="s">
        <v>3431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3432</v>
      </c>
      <c r="B1707" s="2" t="s">
        <v>3433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3434</v>
      </c>
      <c r="B1708" s="2" t="s">
        <v>3435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3436</v>
      </c>
      <c r="B1709" s="2" t="s">
        <v>3437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3438</v>
      </c>
      <c r="B1710" s="2" t="s">
        <v>3439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3440</v>
      </c>
      <c r="B1711" s="2" t="s">
        <v>3441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3442</v>
      </c>
      <c r="B1712" s="2" t="s">
        <v>3443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3444</v>
      </c>
      <c r="B1713" s="2" t="s">
        <v>3445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3446</v>
      </c>
      <c r="B1714" s="2" t="s">
        <v>3447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3448</v>
      </c>
      <c r="B1715" s="2" t="s">
        <v>3449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3450</v>
      </c>
      <c r="B1716" s="2" t="s">
        <v>3451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3452</v>
      </c>
      <c r="B1717" s="2" t="s">
        <v>3453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3454</v>
      </c>
      <c r="B1718" s="2" t="s">
        <v>3455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3456</v>
      </c>
      <c r="B1719" s="2" t="s">
        <v>3457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3458</v>
      </c>
      <c r="B1720" s="2" t="s">
        <v>3459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3460</v>
      </c>
      <c r="B1721" s="2" t="s">
        <v>3461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3462</v>
      </c>
      <c r="B1722" s="2" t="s">
        <v>3463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3464</v>
      </c>
      <c r="B1723" s="2" t="s">
        <v>3465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3466</v>
      </c>
      <c r="B1724" s="2" t="s">
        <v>3467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3468</v>
      </c>
      <c r="B1725" s="2" t="s">
        <v>3469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3470</v>
      </c>
      <c r="B1726" s="2" t="s">
        <v>3471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3472</v>
      </c>
      <c r="B1727" s="2" t="s">
        <v>3473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3474</v>
      </c>
      <c r="B1728" s="2" t="s">
        <v>3475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3476</v>
      </c>
      <c r="B1729" s="2" t="s">
        <v>3477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3478</v>
      </c>
      <c r="B1730" s="2" t="s">
        <v>3479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3480</v>
      </c>
      <c r="B1731" s="2" t="s">
        <v>3481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3482</v>
      </c>
      <c r="B1732" s="2" t="s">
        <v>3483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3484</v>
      </c>
      <c r="B1733" s="2" t="s">
        <v>3485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3486</v>
      </c>
      <c r="B1734" s="2" t="s">
        <v>3487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3488</v>
      </c>
      <c r="B1735" s="2" t="s">
        <v>3489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3490</v>
      </c>
      <c r="B1736" s="2" t="s">
        <v>3491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3492</v>
      </c>
      <c r="B1737" s="2" t="s">
        <v>3493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3494</v>
      </c>
      <c r="B1738" s="2" t="s">
        <v>3495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3496</v>
      </c>
      <c r="B1739" s="2" t="s">
        <v>3497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3498</v>
      </c>
      <c r="B1740" s="2" t="s">
        <v>3499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3500</v>
      </c>
      <c r="B1741" s="2" t="s">
        <v>3501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3502</v>
      </c>
      <c r="B1742" s="2" t="s">
        <v>3503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3504</v>
      </c>
      <c r="B1743" s="2" t="s">
        <v>3505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3506</v>
      </c>
      <c r="B1744" s="2" t="s">
        <v>3507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3508</v>
      </c>
      <c r="B1745" s="2" t="s">
        <v>3509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3510</v>
      </c>
      <c r="B1746" s="2" t="s">
        <v>3511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3512</v>
      </c>
      <c r="B1747" s="2" t="s">
        <v>3513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3514</v>
      </c>
      <c r="B1748" s="2" t="s">
        <v>3515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3516</v>
      </c>
      <c r="B1749" s="2" t="s">
        <v>3517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3518</v>
      </c>
      <c r="B1750" s="2" t="s">
        <v>3519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3520</v>
      </c>
      <c r="B1751" s="2" t="s">
        <v>3521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3522</v>
      </c>
      <c r="B1752" s="2" t="s">
        <v>3523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3524</v>
      </c>
      <c r="B1753" s="2" t="s">
        <v>3525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3526</v>
      </c>
      <c r="B1754" s="2" t="s">
        <v>3527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3528</v>
      </c>
      <c r="B1755" s="2" t="s">
        <v>3529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3530</v>
      </c>
      <c r="B1756" s="2" t="s">
        <v>3531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3532</v>
      </c>
      <c r="B1757" s="2" t="s">
        <v>3533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3534</v>
      </c>
      <c r="B1758" s="2" t="s">
        <v>3535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3536</v>
      </c>
      <c r="B1759" s="2" t="s">
        <v>3537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3538</v>
      </c>
      <c r="B1760" s="2" t="s">
        <v>3539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3540</v>
      </c>
      <c r="B1761" s="2" t="s">
        <v>3541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3542</v>
      </c>
      <c r="B1762" s="2" t="s">
        <v>3543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3544</v>
      </c>
      <c r="B1763" s="2" t="s">
        <v>3545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3546</v>
      </c>
      <c r="B1764" s="2" t="s">
        <v>3547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3548</v>
      </c>
      <c r="B1765" s="2" t="s">
        <v>3549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3550</v>
      </c>
      <c r="B1766" s="2" t="s">
        <v>3551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3552</v>
      </c>
      <c r="B1767" s="2" t="s">
        <v>3553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3554</v>
      </c>
      <c r="B1768" s="2" t="s">
        <v>3555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3556</v>
      </c>
      <c r="B1769" s="2" t="s">
        <v>3557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3558</v>
      </c>
      <c r="B1770" s="2" t="s">
        <v>3559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3560</v>
      </c>
      <c r="B1771" s="2" t="s">
        <v>3561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3562</v>
      </c>
      <c r="B1772" s="2" t="s">
        <v>3563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3564</v>
      </c>
      <c r="B1773" s="2" t="s">
        <v>3565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3566</v>
      </c>
      <c r="B1774" s="2" t="s">
        <v>3567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3568</v>
      </c>
      <c r="B1775" s="2" t="s">
        <v>3569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3570</v>
      </c>
      <c r="B1776" s="2" t="s">
        <v>3571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3572</v>
      </c>
      <c r="B1777" s="2" t="s">
        <v>3573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3574</v>
      </c>
      <c r="B1778" s="2" t="s">
        <v>3575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3576</v>
      </c>
      <c r="B1779" s="2" t="s">
        <v>3577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3578</v>
      </c>
      <c r="B1780" s="2" t="s">
        <v>3579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3580</v>
      </c>
      <c r="B1781" s="2" t="s">
        <v>3581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3582</v>
      </c>
      <c r="B1782" s="2" t="s">
        <v>3583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3584</v>
      </c>
      <c r="B1783" s="2" t="s">
        <v>3585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3586</v>
      </c>
      <c r="B1784" s="2" t="s">
        <v>3587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3588</v>
      </c>
      <c r="B1785" s="2" t="s">
        <v>3589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3590</v>
      </c>
      <c r="B1786" s="2" t="s">
        <v>3591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3592</v>
      </c>
      <c r="B1787" s="2" t="s">
        <v>3593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3594</v>
      </c>
      <c r="B1788" s="2" t="s">
        <v>3595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3596</v>
      </c>
      <c r="B1789" s="2" t="s">
        <v>3597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3598</v>
      </c>
      <c r="B1790" s="2" t="s">
        <v>3599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3600</v>
      </c>
      <c r="B1791" s="2" t="s">
        <v>3601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3602</v>
      </c>
      <c r="B1792" s="2" t="s">
        <v>3603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3604</v>
      </c>
      <c r="B1793" s="2" t="s">
        <v>3605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3606</v>
      </c>
      <c r="B1794" s="2" t="s">
        <v>3607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3608</v>
      </c>
      <c r="B1795" s="2" t="s">
        <v>3609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3610</v>
      </c>
      <c r="B1796" s="2" t="s">
        <v>3611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3612</v>
      </c>
      <c r="B1797" s="2" t="s">
        <v>3613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3614</v>
      </c>
      <c r="B1798" s="2" t="s">
        <v>3615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3616</v>
      </c>
      <c r="B1799" s="2" t="s">
        <v>3617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3618</v>
      </c>
      <c r="B1800" s="2" t="s">
        <v>3619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3620</v>
      </c>
      <c r="B1801" s="2" t="s">
        <v>3621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3622</v>
      </c>
      <c r="B1802" s="2" t="s">
        <v>3623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3624</v>
      </c>
      <c r="B1803" s="2" t="s">
        <v>3625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3626</v>
      </c>
      <c r="B1804" s="2" t="s">
        <v>3627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3628</v>
      </c>
      <c r="B1805" s="2" t="s">
        <v>3629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3630</v>
      </c>
      <c r="B1806" s="2" t="s">
        <v>3631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3632</v>
      </c>
      <c r="B1807" s="2" t="s">
        <v>3633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3634</v>
      </c>
      <c r="B1808" s="2" t="s">
        <v>3635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3636</v>
      </c>
      <c r="B1809" s="2" t="s">
        <v>3637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3638</v>
      </c>
      <c r="B1810" s="2" t="s">
        <v>3639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3640</v>
      </c>
      <c r="B1811" s="2" t="s">
        <v>3641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3642</v>
      </c>
      <c r="B1812" s="2" t="s">
        <v>3643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3644</v>
      </c>
      <c r="B1813" s="2" t="s">
        <v>3645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3646</v>
      </c>
      <c r="B1814" s="2" t="s">
        <v>3647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3648</v>
      </c>
      <c r="B1815" s="2" t="s">
        <v>3649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3650</v>
      </c>
      <c r="B1816" s="2" t="s">
        <v>3651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3652</v>
      </c>
      <c r="B1817" s="2" t="s">
        <v>3653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3654</v>
      </c>
      <c r="B1818" s="2" t="s">
        <v>3655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3656</v>
      </c>
      <c r="B1819" s="2" t="s">
        <v>3657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3658</v>
      </c>
      <c r="B1820" s="2" t="s">
        <v>3659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3660</v>
      </c>
      <c r="B1821" s="2" t="s">
        <v>3661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3662</v>
      </c>
      <c r="B1822" s="2" t="s">
        <v>3663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3664</v>
      </c>
      <c r="B1823" s="2" t="s">
        <v>3665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3666</v>
      </c>
      <c r="B1824" s="2" t="s">
        <v>3667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3668</v>
      </c>
      <c r="B1825" s="2" t="s">
        <v>3669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3670</v>
      </c>
      <c r="B1826" s="2" t="s">
        <v>3671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3672</v>
      </c>
      <c r="B1827" s="2" t="s">
        <v>3673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3674</v>
      </c>
      <c r="B1828" s="2" t="s">
        <v>3675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3676</v>
      </c>
      <c r="B1829" s="2" t="s">
        <v>3677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3678</v>
      </c>
      <c r="B1830" s="2" t="s">
        <v>3679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3680</v>
      </c>
      <c r="B1831" s="2" t="s">
        <v>3681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3682</v>
      </c>
      <c r="B1832" s="2" t="s">
        <v>3683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3684</v>
      </c>
      <c r="B1833" s="2" t="s">
        <v>3685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3686</v>
      </c>
      <c r="B1834" s="2" t="s">
        <v>3687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3688</v>
      </c>
      <c r="B1835" s="2" t="s">
        <v>3689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3690</v>
      </c>
      <c r="B1836" s="2" t="s">
        <v>3691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3692</v>
      </c>
      <c r="B1837" s="2" t="s">
        <v>3693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3694</v>
      </c>
      <c r="B1838" s="2" t="s">
        <v>3695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3696</v>
      </c>
      <c r="B1839" s="2" t="s">
        <v>3697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3698</v>
      </c>
      <c r="B1840" s="2" t="s">
        <v>3699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3700</v>
      </c>
      <c r="B1841" s="2" t="s">
        <v>3701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3702</v>
      </c>
      <c r="B1842" s="2" t="s">
        <v>3703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3704</v>
      </c>
      <c r="B1843" s="2" t="s">
        <v>3705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3706</v>
      </c>
      <c r="B1844" s="2" t="s">
        <v>3707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3708</v>
      </c>
      <c r="B1845" s="2" t="s">
        <v>3709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3710</v>
      </c>
      <c r="B1846" s="2" t="s">
        <v>3711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3712</v>
      </c>
      <c r="B1847" s="2" t="s">
        <v>3713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3714</v>
      </c>
      <c r="B1848" s="2" t="s">
        <v>3715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3716</v>
      </c>
      <c r="B1849" s="2" t="s">
        <v>3717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3718</v>
      </c>
      <c r="B1850" s="2" t="s">
        <v>3719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3720</v>
      </c>
      <c r="B1851" s="2" t="s">
        <v>3721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3722</v>
      </c>
      <c r="B1852" s="2" t="s">
        <v>3723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3724</v>
      </c>
      <c r="B1853" s="2" t="s">
        <v>3725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3726</v>
      </c>
      <c r="B1854" s="2" t="s">
        <v>3727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3728</v>
      </c>
      <c r="B1855" s="2" t="s">
        <v>3729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3730</v>
      </c>
      <c r="B1856" s="2" t="s">
        <v>3731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3732</v>
      </c>
      <c r="B1857" s="2" t="s">
        <v>3733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3734</v>
      </c>
      <c r="B1858" s="2" t="s">
        <v>3735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3736</v>
      </c>
      <c r="B1859" s="2" t="s">
        <v>3737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3738</v>
      </c>
      <c r="B1860" s="2" t="s">
        <v>3739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3740</v>
      </c>
      <c r="B1861" s="2" t="s">
        <v>3741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3742</v>
      </c>
      <c r="B1862" s="2" t="s">
        <v>3743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3744</v>
      </c>
      <c r="B1863" s="2" t="s">
        <v>3745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3746</v>
      </c>
      <c r="B1864" s="2" t="s">
        <v>3747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3748</v>
      </c>
      <c r="B1865" s="2" t="s">
        <v>3749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3750</v>
      </c>
      <c r="B1866" s="2" t="s">
        <v>3751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3752</v>
      </c>
      <c r="B1867" s="2" t="s">
        <v>3753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3754</v>
      </c>
      <c r="B1868" s="2" t="s">
        <v>3755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3756</v>
      </c>
      <c r="B1869" s="2" t="s">
        <v>3757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3758</v>
      </c>
      <c r="B1870" s="2" t="s">
        <v>3759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3760</v>
      </c>
      <c r="B1871" s="2" t="s">
        <v>3761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3762</v>
      </c>
      <c r="B1872" s="2" t="s">
        <v>3763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3764</v>
      </c>
      <c r="B1873" s="2" t="s">
        <v>3765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3766</v>
      </c>
      <c r="B1874" s="2" t="s">
        <v>3767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3768</v>
      </c>
      <c r="B1875" s="2" t="s">
        <v>3769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3770</v>
      </c>
      <c r="B1876" s="2" t="s">
        <v>3771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3772</v>
      </c>
      <c r="B1877" s="2" t="s">
        <v>3773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3774</v>
      </c>
      <c r="B1878" s="2" t="s">
        <v>3775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3776</v>
      </c>
      <c r="B1879" s="2" t="s">
        <v>3777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3778</v>
      </c>
      <c r="B1880" s="2" t="s">
        <v>3779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3780</v>
      </c>
      <c r="B1881" s="2" t="s">
        <v>3781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3782</v>
      </c>
      <c r="B1882" s="2" t="s">
        <v>3783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3784</v>
      </c>
      <c r="B1883" s="2" t="s">
        <v>3785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3786</v>
      </c>
      <c r="B1884" s="2" t="s">
        <v>3787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3788</v>
      </c>
      <c r="B1885" s="2" t="s">
        <v>3789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3790</v>
      </c>
      <c r="B1886" s="2" t="s">
        <v>3791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3792</v>
      </c>
      <c r="B1887" s="2" t="s">
        <v>3793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3794</v>
      </c>
      <c r="B1888" s="2" t="s">
        <v>3795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3796</v>
      </c>
      <c r="B1889" s="2" t="s">
        <v>3797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3798</v>
      </c>
      <c r="B1890" s="2" t="s">
        <v>3799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3800</v>
      </c>
      <c r="B1891" s="2" t="s">
        <v>3801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3802</v>
      </c>
      <c r="B1892" s="2" t="s">
        <v>3803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3804</v>
      </c>
      <c r="B1893" s="2" t="s">
        <v>3805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3806</v>
      </c>
      <c r="B1894" s="2" t="s">
        <v>3807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3808</v>
      </c>
      <c r="B1895" s="2" t="s">
        <v>3809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3810</v>
      </c>
      <c r="B1896" s="2" t="s">
        <v>3811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3812</v>
      </c>
      <c r="B1897" s="2" t="s">
        <v>3813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3814</v>
      </c>
      <c r="B1898" s="2" t="s">
        <v>3815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3816</v>
      </c>
      <c r="B1899" s="2" t="s">
        <v>3817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3818</v>
      </c>
      <c r="B1900" s="2" t="s">
        <v>3819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3820</v>
      </c>
      <c r="B1901" s="2" t="s">
        <v>3821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3822</v>
      </c>
      <c r="B1902" s="2" t="s">
        <v>3823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3824</v>
      </c>
      <c r="B1903" s="2" t="s">
        <v>3825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3826</v>
      </c>
      <c r="B1904" s="2" t="s">
        <v>3827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3828</v>
      </c>
      <c r="B1905" s="2" t="s">
        <v>3829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3830</v>
      </c>
      <c r="B1906" s="2" t="s">
        <v>3831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3832</v>
      </c>
      <c r="B1907" s="2" t="s">
        <v>3833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3834</v>
      </c>
      <c r="B1908" s="2" t="s">
        <v>3835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3836</v>
      </c>
      <c r="B1909" s="2" t="s">
        <v>3837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3838</v>
      </c>
      <c r="B1910" s="2" t="s">
        <v>3839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3840</v>
      </c>
      <c r="B1911" s="2" t="s">
        <v>3841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3842</v>
      </c>
      <c r="B1912" s="2" t="s">
        <v>3843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3844</v>
      </c>
      <c r="B1913" s="2" t="s">
        <v>3845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3846</v>
      </c>
      <c r="B1914" s="2" t="s">
        <v>3847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3848</v>
      </c>
      <c r="B1915" s="2" t="s">
        <v>3849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3850</v>
      </c>
      <c r="B1916" s="2" t="s">
        <v>3851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3852</v>
      </c>
      <c r="B1917" s="2" t="s">
        <v>3853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3854</v>
      </c>
      <c r="B1918" s="2" t="s">
        <v>3855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3856</v>
      </c>
      <c r="B1919" s="2" t="s">
        <v>3857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3858</v>
      </c>
      <c r="B1920" s="2" t="s">
        <v>3859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3860</v>
      </c>
      <c r="B1921" s="2" t="s">
        <v>3861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3862</v>
      </c>
      <c r="B1922" s="2" t="s">
        <v>3863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3864</v>
      </c>
      <c r="B1923" s="2" t="s">
        <v>3865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3866</v>
      </c>
      <c r="B1924" s="2" t="s">
        <v>3867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3878</v>
      </c>
      <c r="B1925" s="168" t="s">
        <v>3878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3879</v>
      </c>
      <c r="B1926" s="168" t="s">
        <v>3879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3880</v>
      </c>
      <c r="B1927" s="168" t="s">
        <v>3880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3881</v>
      </c>
      <c r="B1928" s="168" t="s">
        <v>3881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3882</v>
      </c>
      <c r="B1929" s="168" t="s">
        <v>3882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3883</v>
      </c>
      <c r="B1930" s="168" t="s">
        <v>3883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3884</v>
      </c>
      <c r="B1931" s="168" t="s">
        <v>3884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3885</v>
      </c>
      <c r="B1932" s="168" t="s">
        <v>3885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3886</v>
      </c>
      <c r="B1933" s="168" t="s">
        <v>3886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3887</v>
      </c>
      <c r="B1934" s="168" t="s">
        <v>3887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3888</v>
      </c>
      <c r="B1935" s="168" t="s">
        <v>3888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3889</v>
      </c>
      <c r="B1936" s="168" t="s">
        <v>3889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3890</v>
      </c>
      <c r="B1937" s="168" t="s">
        <v>3890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3891</v>
      </c>
      <c r="B1938" s="168" t="s">
        <v>3891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3892</v>
      </c>
      <c r="B1939" s="168" t="s">
        <v>3892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3893</v>
      </c>
      <c r="B1940" s="168" t="s">
        <v>3893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3894</v>
      </c>
      <c r="B1941" s="168" t="s">
        <v>3894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3895</v>
      </c>
      <c r="B1942" s="168" t="s">
        <v>3895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3896</v>
      </c>
      <c r="B1943" s="168" t="s">
        <v>3896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3897</v>
      </c>
      <c r="B1944" s="168" t="s">
        <v>3897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3898</v>
      </c>
      <c r="B1945" s="168" t="s">
        <v>3898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3899</v>
      </c>
      <c r="B1946" s="168" t="s">
        <v>3899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3900</v>
      </c>
      <c r="B1947" s="168" t="s">
        <v>3900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3901</v>
      </c>
      <c r="B1948" s="168" t="s">
        <v>3901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3902</v>
      </c>
      <c r="B1949" s="168" t="s">
        <v>3902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3903</v>
      </c>
      <c r="B1950" s="168" t="s">
        <v>3903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3904</v>
      </c>
      <c r="B1951" s="168" t="s">
        <v>3904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3905</v>
      </c>
      <c r="B1952" s="168" t="s">
        <v>3905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3906</v>
      </c>
      <c r="B1953" s="168" t="s">
        <v>3906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3907</v>
      </c>
      <c r="B1954" s="168" t="s">
        <v>3907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3908</v>
      </c>
      <c r="B1955" s="168" t="s">
        <v>3908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3909</v>
      </c>
      <c r="B1956" s="168" t="s">
        <v>3909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3910</v>
      </c>
      <c r="B1957" s="168" t="s">
        <v>3910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3911</v>
      </c>
      <c r="B1958" s="168" t="s">
        <v>3911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3912</v>
      </c>
      <c r="B1959" s="168" t="s">
        <v>3912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3913</v>
      </c>
      <c r="B1960" s="168" t="s">
        <v>3913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3914</v>
      </c>
      <c r="B1961" s="168" t="s">
        <v>3914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3915</v>
      </c>
      <c r="B1962" s="168" t="s">
        <v>3915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3916</v>
      </c>
      <c r="B1963" s="168" t="s">
        <v>3916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3917</v>
      </c>
      <c r="B1964" s="168" t="s">
        <v>3917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3918</v>
      </c>
      <c r="B1965" s="168" t="s">
        <v>3918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3919</v>
      </c>
      <c r="B1966" s="168" t="s">
        <v>3919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3920</v>
      </c>
      <c r="B1967" s="168" t="s">
        <v>3920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3921</v>
      </c>
      <c r="B1968" s="168" t="s">
        <v>3921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3922</v>
      </c>
      <c r="B1969" s="168" t="s">
        <v>3922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3923</v>
      </c>
      <c r="B1970" s="168" t="s">
        <v>3923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3924</v>
      </c>
      <c r="B1971" s="168" t="s">
        <v>3924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3925</v>
      </c>
      <c r="B1972" s="168" t="s">
        <v>3925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3926</v>
      </c>
      <c r="B1973" s="168" t="s">
        <v>3926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3927</v>
      </c>
      <c r="B1974" s="168" t="s">
        <v>3927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3928</v>
      </c>
      <c r="B1975" s="168" t="s">
        <v>3928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3929</v>
      </c>
      <c r="B1976" s="168" t="s">
        <v>3929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3930</v>
      </c>
      <c r="B1977" s="168" t="s">
        <v>3930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3931</v>
      </c>
      <c r="B1978" s="168" t="s">
        <v>3931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3932</v>
      </c>
      <c r="B1979" s="168" t="s">
        <v>3932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3933</v>
      </c>
      <c r="B1980" s="168" t="s">
        <v>3933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3934</v>
      </c>
      <c r="B1981" s="168" t="s">
        <v>3934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3935</v>
      </c>
      <c r="B1982" s="168" t="s">
        <v>3935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3936</v>
      </c>
      <c r="B1983" s="168" t="s">
        <v>3936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3937</v>
      </c>
      <c r="B1984" s="168" t="s">
        <v>3937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3938</v>
      </c>
      <c r="B1985" s="168" t="s">
        <v>3938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3939</v>
      </c>
      <c r="B1986" s="168" t="s">
        <v>3939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3940</v>
      </c>
      <c r="B1987" s="168" t="s">
        <v>3940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3941</v>
      </c>
      <c r="B1988" s="168" t="s">
        <v>3941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3942</v>
      </c>
      <c r="B1989" s="168" t="s">
        <v>3942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3943</v>
      </c>
      <c r="B1990" s="168" t="s">
        <v>3943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3944</v>
      </c>
      <c r="B1991" s="168" t="s">
        <v>3944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3945</v>
      </c>
      <c r="B1992" s="168" t="s">
        <v>3945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3946</v>
      </c>
      <c r="B1993" s="168" t="s">
        <v>3946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3947</v>
      </c>
      <c r="B1994" s="168" t="s">
        <v>3947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3948</v>
      </c>
      <c r="B1995" s="168" t="s">
        <v>3948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3949</v>
      </c>
      <c r="B1996" s="168" t="s">
        <v>3949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3950</v>
      </c>
      <c r="B1997" s="168" t="s">
        <v>3950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3951</v>
      </c>
      <c r="B1998" s="168" t="s">
        <v>3951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3952</v>
      </c>
      <c r="B1999" s="168" t="s">
        <v>3952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3953</v>
      </c>
      <c r="B2000" s="168" t="s">
        <v>3953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3954</v>
      </c>
      <c r="B2001" s="168" t="s">
        <v>3954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3955</v>
      </c>
      <c r="B2002" s="168" t="s">
        <v>3955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3956</v>
      </c>
      <c r="B2003" s="168" t="s">
        <v>3956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3957</v>
      </c>
      <c r="B2004" s="168" t="s">
        <v>3957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3958</v>
      </c>
      <c r="B2005" s="168" t="s">
        <v>3958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3959</v>
      </c>
      <c r="B2006" s="168" t="s">
        <v>3959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3960</v>
      </c>
      <c r="B2007" s="168" t="s">
        <v>3960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3961</v>
      </c>
      <c r="B2008" s="168" t="s">
        <v>3961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3962</v>
      </c>
      <c r="B2009" s="168" t="s">
        <v>3962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3963</v>
      </c>
      <c r="B2010" s="168" t="s">
        <v>3963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3964</v>
      </c>
      <c r="B2011" s="168" t="s">
        <v>3964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3965</v>
      </c>
      <c r="B2012" s="168" t="s">
        <v>3965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3966</v>
      </c>
      <c r="B2013" s="168" t="s">
        <v>3966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3967</v>
      </c>
      <c r="B2014" s="168" t="s">
        <v>3967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3968</v>
      </c>
      <c r="B2015" s="168" t="s">
        <v>3968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3969</v>
      </c>
      <c r="B2016" s="168" t="s">
        <v>3969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3970</v>
      </c>
      <c r="B2017" s="168" t="s">
        <v>3970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3971</v>
      </c>
      <c r="B2018" s="168" t="s">
        <v>3971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3972</v>
      </c>
      <c r="B2019" s="168" t="s">
        <v>3972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3973</v>
      </c>
      <c r="B2020" s="168" t="s">
        <v>3973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3974</v>
      </c>
      <c r="B2021" s="168" t="s">
        <v>3974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3975</v>
      </c>
      <c r="B2022" s="168" t="s">
        <v>3975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3976</v>
      </c>
      <c r="B2023" s="168" t="s">
        <v>3976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3977</v>
      </c>
      <c r="B2024" s="168" t="s">
        <v>3977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3978</v>
      </c>
      <c r="B2025" s="168" t="s">
        <v>3978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3979</v>
      </c>
      <c r="B2026" s="168" t="s">
        <v>3979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3980</v>
      </c>
      <c r="B2027" s="168" t="s">
        <v>3980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3981</v>
      </c>
      <c r="B2028" s="168" t="s">
        <v>3981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3982</v>
      </c>
      <c r="B2029" s="168" t="s">
        <v>3982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3983</v>
      </c>
      <c r="B2030" s="168" t="s">
        <v>3983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3984</v>
      </c>
      <c r="B2031" s="168" t="s">
        <v>3984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3985</v>
      </c>
      <c r="B2032" s="168" t="s">
        <v>3985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3986</v>
      </c>
      <c r="B2033" s="168" t="s">
        <v>3986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3987</v>
      </c>
      <c r="B2034" s="168" t="s">
        <v>3987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3988</v>
      </c>
      <c r="B2035" s="168" t="s">
        <v>3988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3989</v>
      </c>
      <c r="B2036" s="168" t="s">
        <v>3989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3990</v>
      </c>
      <c r="B2037" s="168" t="s">
        <v>3990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3991</v>
      </c>
      <c r="B2038" s="168" t="s">
        <v>3991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3992</v>
      </c>
      <c r="B2039" s="168" t="s">
        <v>3992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3993</v>
      </c>
      <c r="B2040" s="168" t="s">
        <v>3993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3994</v>
      </c>
      <c r="B2041" s="168" t="s">
        <v>3994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3995</v>
      </c>
      <c r="B2042" s="168" t="s">
        <v>3995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3996</v>
      </c>
      <c r="B2043" s="168" t="s">
        <v>3996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3997</v>
      </c>
      <c r="B2044" s="168" t="s">
        <v>3997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3998</v>
      </c>
      <c r="B2045" s="168" t="s">
        <v>3998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3999</v>
      </c>
      <c r="B2046" s="168" t="s">
        <v>3999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4000</v>
      </c>
      <c r="B2047" s="168" t="s">
        <v>4000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4001</v>
      </c>
      <c r="B2048" s="168" t="s">
        <v>4001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4002</v>
      </c>
      <c r="B2049" s="168" t="s">
        <v>4002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4003</v>
      </c>
      <c r="B2050" s="168" t="s">
        <v>4003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4004</v>
      </c>
      <c r="B2051" s="168" t="s">
        <v>4004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4005</v>
      </c>
      <c r="B2052" s="168" t="s">
        <v>4005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4006</v>
      </c>
      <c r="B2053" s="168" t="s">
        <v>4006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4007</v>
      </c>
      <c r="B2054" s="168" t="s">
        <v>4007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4008</v>
      </c>
      <c r="B2055" s="168" t="s">
        <v>4008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4009</v>
      </c>
      <c r="B2056" s="168" t="s">
        <v>4009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4010</v>
      </c>
      <c r="B2057" s="168" t="s">
        <v>4010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4011</v>
      </c>
      <c r="B2058" s="168" t="s">
        <v>4011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4012</v>
      </c>
      <c r="B2059" s="168" t="s">
        <v>4012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4013</v>
      </c>
      <c r="B2060" s="168" t="s">
        <v>4013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4014</v>
      </c>
      <c r="B2061" s="168" t="s">
        <v>4014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4015</v>
      </c>
      <c r="B2062" s="168" t="s">
        <v>4015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4016</v>
      </c>
      <c r="B2063" s="168" t="s">
        <v>4016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4017</v>
      </c>
      <c r="B2064" s="168" t="s">
        <v>4017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4018</v>
      </c>
      <c r="B2065" s="168" t="s">
        <v>4018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4019</v>
      </c>
      <c r="B2066" s="168" t="s">
        <v>4019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4020</v>
      </c>
      <c r="B2067" s="168" t="s">
        <v>4020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4021</v>
      </c>
      <c r="B2068" s="168" t="s">
        <v>4021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4022</v>
      </c>
      <c r="B2069" s="168" t="s">
        <v>4022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4023</v>
      </c>
      <c r="B2070" s="168" t="s">
        <v>4023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4024</v>
      </c>
      <c r="B2071" s="168" t="s">
        <v>4024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4025</v>
      </c>
      <c r="B2072" s="168" t="s">
        <v>4025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4026</v>
      </c>
      <c r="B2073" s="168" t="s">
        <v>4026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4027</v>
      </c>
      <c r="B2074" s="168" t="s">
        <v>4027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4028</v>
      </c>
      <c r="B2075" s="168" t="s">
        <v>4028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4029</v>
      </c>
      <c r="B2076" s="168" t="s">
        <v>4029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4030</v>
      </c>
      <c r="B2077" s="168" t="s">
        <v>4030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4031</v>
      </c>
      <c r="B2078" s="168" t="s">
        <v>4031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4032</v>
      </c>
      <c r="B2079" s="168" t="s">
        <v>4032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4033</v>
      </c>
      <c r="B2080" s="168" t="s">
        <v>4033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4034</v>
      </c>
      <c r="B2081" s="168" t="s">
        <v>4034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4035</v>
      </c>
      <c r="B2082" s="168" t="s">
        <v>4035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4036</v>
      </c>
      <c r="B2083" s="168" t="s">
        <v>4036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4037</v>
      </c>
      <c r="B2084" s="168" t="s">
        <v>4037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4038</v>
      </c>
      <c r="B2085" s="168" t="s">
        <v>4038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4039</v>
      </c>
      <c r="B2086" s="168" t="s">
        <v>4039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4040</v>
      </c>
      <c r="B2087" s="168" t="s">
        <v>4040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4041</v>
      </c>
      <c r="B2088" s="168" t="s">
        <v>4041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4042</v>
      </c>
      <c r="B2089" s="168" t="s">
        <v>4042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4043</v>
      </c>
      <c r="B2090" s="168" t="s">
        <v>4043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4044</v>
      </c>
      <c r="B2091" s="168" t="s">
        <v>4044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4045</v>
      </c>
      <c r="B2092" s="168" t="s">
        <v>4045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4046</v>
      </c>
      <c r="B2093" s="168" t="s">
        <v>4046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4047</v>
      </c>
      <c r="B2094" s="168" t="s">
        <v>4047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4048</v>
      </c>
      <c r="B2095" s="168" t="s">
        <v>4048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4049</v>
      </c>
      <c r="B2096" s="168" t="s">
        <v>4049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4050</v>
      </c>
      <c r="B2097" s="168" t="s">
        <v>4050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4051</v>
      </c>
      <c r="B2098" s="168" t="s">
        <v>4051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4052</v>
      </c>
      <c r="B2099" s="168" t="s">
        <v>4052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4053</v>
      </c>
      <c r="B2100" s="168" t="s">
        <v>4053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4054</v>
      </c>
      <c r="B2101" s="168" t="s">
        <v>4054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4055</v>
      </c>
      <c r="B2102" s="168" t="s">
        <v>4055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4056</v>
      </c>
      <c r="B2103" s="168" t="s">
        <v>4056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4057</v>
      </c>
      <c r="B2104" s="168" t="s">
        <v>4057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4058</v>
      </c>
      <c r="B2105" s="168" t="s">
        <v>4058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4059</v>
      </c>
      <c r="B2106" s="168" t="s">
        <v>4059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4060</v>
      </c>
      <c r="B2107" s="168" t="s">
        <v>4060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4061</v>
      </c>
      <c r="B2108" s="168" t="s">
        <v>4061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4062</v>
      </c>
      <c r="B2109" s="168" t="s">
        <v>4062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4063</v>
      </c>
      <c r="B2110" s="168" t="s">
        <v>4063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4064</v>
      </c>
      <c r="B2111" s="168" t="s">
        <v>4064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4065</v>
      </c>
      <c r="B2112" s="168" t="s">
        <v>4065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4066</v>
      </c>
      <c r="B2113" s="168" t="s">
        <v>4066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4067</v>
      </c>
      <c r="B2114" s="168" t="s">
        <v>4067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4068</v>
      </c>
      <c r="B2115" s="168" t="s">
        <v>4068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4069</v>
      </c>
      <c r="B2116" s="168" t="s">
        <v>4069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4070</v>
      </c>
      <c r="B2117" s="168" t="s">
        <v>4070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4071</v>
      </c>
      <c r="B2118" s="168" t="s">
        <v>4071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4072</v>
      </c>
      <c r="B2119" s="168" t="s">
        <v>4072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4073</v>
      </c>
      <c r="B2120" s="168" t="s">
        <v>4073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4074</v>
      </c>
      <c r="B2121" s="168" t="s">
        <v>4074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4075</v>
      </c>
      <c r="B2122" s="168" t="s">
        <v>4075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4076</v>
      </c>
      <c r="B2123" s="168" t="s">
        <v>4076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4077</v>
      </c>
      <c r="B2124" s="168" t="s">
        <v>4077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4078</v>
      </c>
      <c r="B2125" s="168" t="s">
        <v>4078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4079</v>
      </c>
      <c r="B2126" s="168" t="s">
        <v>4079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4080</v>
      </c>
      <c r="B2127" s="168" t="s">
        <v>4080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4081</v>
      </c>
      <c r="B2128" s="168" t="s">
        <v>4081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4082</v>
      </c>
      <c r="B2129" s="168" t="s">
        <v>4082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4083</v>
      </c>
      <c r="B2130" s="168" t="s">
        <v>4083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4084</v>
      </c>
      <c r="B2131" s="168" t="s">
        <v>4084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4085</v>
      </c>
      <c r="B2132" s="168" t="s">
        <v>4085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4086</v>
      </c>
      <c r="B2133" s="168" t="s">
        <v>4086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4087</v>
      </c>
      <c r="B2134" s="168" t="s">
        <v>4087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4088</v>
      </c>
      <c r="B2135" s="168" t="s">
        <v>4088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4089</v>
      </c>
      <c r="B2136" s="168" t="s">
        <v>4089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4090</v>
      </c>
      <c r="B2137" s="168" t="s">
        <v>4090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4091</v>
      </c>
      <c r="B2138" s="168" t="s">
        <v>4091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4092</v>
      </c>
      <c r="B2139" s="168" t="s">
        <v>4092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4093</v>
      </c>
      <c r="B2140" s="168" t="s">
        <v>4093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4094</v>
      </c>
      <c r="B2141" s="168" t="s">
        <v>4094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4095</v>
      </c>
      <c r="B2142" s="168" t="s">
        <v>4095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4096</v>
      </c>
      <c r="B2143" s="168" t="s">
        <v>4096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4097</v>
      </c>
      <c r="B2144" s="168" t="s">
        <v>4097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4098</v>
      </c>
      <c r="B2145" s="168" t="s">
        <v>4098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4099</v>
      </c>
      <c r="B2146" s="168" t="s">
        <v>4099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4100</v>
      </c>
      <c r="B2147" s="168" t="s">
        <v>4100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4101</v>
      </c>
      <c r="B2148" s="168" t="s">
        <v>4101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4102</v>
      </c>
      <c r="B2149" s="168" t="s">
        <v>4102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4103</v>
      </c>
      <c r="B2150" s="168" t="s">
        <v>4103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4104</v>
      </c>
      <c r="B2151" s="168" t="s">
        <v>4104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4105</v>
      </c>
      <c r="B2152" s="168" t="s">
        <v>4105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4106</v>
      </c>
      <c r="B2153" s="168" t="s">
        <v>4106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4107</v>
      </c>
      <c r="B2154" s="168" t="s">
        <v>4107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4108</v>
      </c>
      <c r="B2155" s="168" t="s">
        <v>4108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4109</v>
      </c>
      <c r="B2156" s="168" t="s">
        <v>4109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4110</v>
      </c>
      <c r="B2157" s="168" t="s">
        <v>4110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4111</v>
      </c>
      <c r="B2158" s="168" t="s">
        <v>4111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4112</v>
      </c>
      <c r="B2159" s="168" t="s">
        <v>4112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4113</v>
      </c>
      <c r="B2160" s="168" t="s">
        <v>4113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4114</v>
      </c>
      <c r="B2161" s="168" t="s">
        <v>4114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4115</v>
      </c>
      <c r="B2162" s="168" t="s">
        <v>4115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4116</v>
      </c>
      <c r="B2163" s="168" t="s">
        <v>4116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4117</v>
      </c>
      <c r="B2164" s="168" t="s">
        <v>4117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4118</v>
      </c>
      <c r="B2165" s="168" t="s">
        <v>4118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4119</v>
      </c>
      <c r="B2166" s="168" t="s">
        <v>4119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4120</v>
      </c>
      <c r="B2167" s="168" t="s">
        <v>4120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4121</v>
      </c>
      <c r="B2168" s="168" t="s">
        <v>4121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4122</v>
      </c>
      <c r="B2169" s="168" t="s">
        <v>4122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4123</v>
      </c>
      <c r="B2170" s="168" t="s">
        <v>4123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4124</v>
      </c>
      <c r="B2171" s="168" t="s">
        <v>4124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4125</v>
      </c>
      <c r="B2172" s="168" t="s">
        <v>4125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4126</v>
      </c>
      <c r="B2173" s="168" t="s">
        <v>4126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4127</v>
      </c>
      <c r="B2174" s="168" t="s">
        <v>4127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4128</v>
      </c>
      <c r="B2175" s="168" t="s">
        <v>4128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4129</v>
      </c>
      <c r="B2176" s="168" t="s">
        <v>4129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4130</v>
      </c>
      <c r="B2177" s="168" t="s">
        <v>4130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4131</v>
      </c>
      <c r="B2178" s="168" t="s">
        <v>4131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4132</v>
      </c>
      <c r="B2179" s="168" t="s">
        <v>4132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4133</v>
      </c>
      <c r="B2180" s="168" t="s">
        <v>4133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4134</v>
      </c>
      <c r="B2181" s="168" t="s">
        <v>4134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4135</v>
      </c>
      <c r="B2182" s="168" t="s">
        <v>4135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4136</v>
      </c>
      <c r="B2183" s="168" t="s">
        <v>4136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4137</v>
      </c>
      <c r="B2184" s="168" t="s">
        <v>4137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4138</v>
      </c>
      <c r="B2185" s="168" t="s">
        <v>4138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4139</v>
      </c>
      <c r="B2186" s="168" t="s">
        <v>4139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4140</v>
      </c>
      <c r="B2187" s="168" t="s">
        <v>4140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4141</v>
      </c>
      <c r="B2188" s="168" t="s">
        <v>4141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4142</v>
      </c>
      <c r="B2189" s="168" t="s">
        <v>4142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4143</v>
      </c>
      <c r="B2190" s="168" t="s">
        <v>4143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4144</v>
      </c>
      <c r="B2191" s="168" t="s">
        <v>4144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4145</v>
      </c>
      <c r="B2192" s="168" t="s">
        <v>4145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4146</v>
      </c>
      <c r="B2193" s="168" t="s">
        <v>4146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4147</v>
      </c>
      <c r="B2194" s="168" t="s">
        <v>4147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4148</v>
      </c>
      <c r="B2195" s="168" t="s">
        <v>4148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4149</v>
      </c>
      <c r="B2196" s="168" t="s">
        <v>4149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4150</v>
      </c>
      <c r="B2197" s="168" t="s">
        <v>4150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4151</v>
      </c>
      <c r="B2198" s="168" t="s">
        <v>4151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4152</v>
      </c>
      <c r="B2199" s="168" t="s">
        <v>4152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4153</v>
      </c>
      <c r="B2200" s="168" t="s">
        <v>4153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4154</v>
      </c>
      <c r="B2201" s="168" t="s">
        <v>4154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4155</v>
      </c>
      <c r="B2202" s="168" t="s">
        <v>4155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4156</v>
      </c>
      <c r="B2203" s="168" t="s">
        <v>4156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4157</v>
      </c>
      <c r="B2204" s="168" t="s">
        <v>4157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4158</v>
      </c>
      <c r="B2205" s="168" t="s">
        <v>4158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4159</v>
      </c>
      <c r="B2206" s="168" t="s">
        <v>4159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4160</v>
      </c>
      <c r="B2207" s="168" t="s">
        <v>4160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4161</v>
      </c>
      <c r="B2208" s="168" t="s">
        <v>4161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4162</v>
      </c>
      <c r="B2209" s="168" t="s">
        <v>4162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4163</v>
      </c>
      <c r="B2210" s="168" t="s">
        <v>4163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4164</v>
      </c>
      <c r="B2211" s="168" t="s">
        <v>4164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4165</v>
      </c>
      <c r="B2212" s="168" t="s">
        <v>4165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4166</v>
      </c>
      <c r="B2213" s="168" t="s">
        <v>4166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4167</v>
      </c>
      <c r="B2214" s="168" t="s">
        <v>4167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4168</v>
      </c>
      <c r="B2215" s="168" t="s">
        <v>4168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4169</v>
      </c>
      <c r="B2216" s="168" t="s">
        <v>4169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4170</v>
      </c>
      <c r="B2217" s="168" t="s">
        <v>4170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4171</v>
      </c>
      <c r="B2218" s="168" t="s">
        <v>4171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4172</v>
      </c>
      <c r="B2219" s="168" t="s">
        <v>4172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4173</v>
      </c>
      <c r="B2220" s="168" t="s">
        <v>4173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4174</v>
      </c>
      <c r="B2221" s="168" t="s">
        <v>4174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4175</v>
      </c>
      <c r="B2222" s="168" t="s">
        <v>4175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4176</v>
      </c>
      <c r="B2223" s="168" t="s">
        <v>4176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4177</v>
      </c>
      <c r="B2224" s="168" t="s">
        <v>4177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4178</v>
      </c>
      <c r="B2225" s="168" t="s">
        <v>4178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4179</v>
      </c>
      <c r="B2226" s="168" t="s">
        <v>4179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4180</v>
      </c>
      <c r="B2227" s="168" t="s">
        <v>4180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4181</v>
      </c>
      <c r="B2228" s="168" t="s">
        <v>4181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4182</v>
      </c>
      <c r="B2229" s="168" t="s">
        <v>4182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4183</v>
      </c>
      <c r="B2230" s="168" t="s">
        <v>4183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4184</v>
      </c>
      <c r="B2231" s="168" t="s">
        <v>4184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4185</v>
      </c>
      <c r="B2232" s="168" t="s">
        <v>4185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4186</v>
      </c>
      <c r="B2233" s="168" t="s">
        <v>4186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4187</v>
      </c>
      <c r="B2234" s="168" t="s">
        <v>4187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4188</v>
      </c>
      <c r="B2235" s="168" t="s">
        <v>4188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4189</v>
      </c>
      <c r="B2236" s="168" t="s">
        <v>4189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4190</v>
      </c>
      <c r="B2237" s="168" t="s">
        <v>4190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4191</v>
      </c>
      <c r="B2238" s="168" t="s">
        <v>4191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4192</v>
      </c>
      <c r="B2239" s="168" t="s">
        <v>4192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4193</v>
      </c>
      <c r="B2240" s="168" t="s">
        <v>4193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4194</v>
      </c>
      <c r="B2241" s="168" t="s">
        <v>4194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4195</v>
      </c>
      <c r="B2242" s="168" t="s">
        <v>4195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4196</v>
      </c>
      <c r="B2243" s="168" t="s">
        <v>4196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4197</v>
      </c>
      <c r="B2244" s="168" t="s">
        <v>4197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4198</v>
      </c>
      <c r="B2245" s="168" t="s">
        <v>4198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4199</v>
      </c>
      <c r="B2246" s="168" t="s">
        <v>4199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4200</v>
      </c>
      <c r="B2247" s="168" t="s">
        <v>4200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4201</v>
      </c>
      <c r="B2248" s="168" t="s">
        <v>4201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4202</v>
      </c>
      <c r="B2249" s="168" t="s">
        <v>4202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4203</v>
      </c>
      <c r="B2250" s="168" t="s">
        <v>4203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4204</v>
      </c>
      <c r="B2251" s="168" t="s">
        <v>4204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4205</v>
      </c>
      <c r="B2252" s="168" t="s">
        <v>4205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4206</v>
      </c>
      <c r="B2253" s="168" t="s">
        <v>4206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4207</v>
      </c>
      <c r="B2254" s="168" t="s">
        <v>4207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4208</v>
      </c>
      <c r="B2255" s="168" t="s">
        <v>4208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4209</v>
      </c>
      <c r="B2256" s="168" t="s">
        <v>4209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4210</v>
      </c>
      <c r="B2257" s="168" t="s">
        <v>4210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4211</v>
      </c>
      <c r="B2258" s="168" t="s">
        <v>4211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4212</v>
      </c>
      <c r="B2259" s="168" t="s">
        <v>4212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4213</v>
      </c>
      <c r="B2260" s="168" t="s">
        <v>4213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4214</v>
      </c>
      <c r="B2261" s="168" t="s">
        <v>4214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4215</v>
      </c>
      <c r="B2262" s="168" t="s">
        <v>4215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4216</v>
      </c>
      <c r="B2263" s="168" t="s">
        <v>4216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4217</v>
      </c>
      <c r="B2264" s="168" t="s">
        <v>4217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4218</v>
      </c>
      <c r="B2265" s="168" t="s">
        <v>4218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4219</v>
      </c>
      <c r="B2266" s="168" t="s">
        <v>4219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4220</v>
      </c>
      <c r="B2267" s="168" t="s">
        <v>4220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4221</v>
      </c>
      <c r="B2268" s="168" t="s">
        <v>4221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4222</v>
      </c>
      <c r="B2269" s="168" t="s">
        <v>4222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4223</v>
      </c>
      <c r="B2270" s="168" t="s">
        <v>4223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4224</v>
      </c>
      <c r="B2271" s="168" t="s">
        <v>4224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4225</v>
      </c>
      <c r="B2272" s="168" t="s">
        <v>4225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4226</v>
      </c>
      <c r="B2273" s="168" t="s">
        <v>4226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4227</v>
      </c>
      <c r="B2274" s="168" t="s">
        <v>4227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4228</v>
      </c>
      <c r="B2275" s="168" t="s">
        <v>4228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4229</v>
      </c>
      <c r="B2276" s="168" t="s">
        <v>4229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4230</v>
      </c>
      <c r="B2277" s="168" t="s">
        <v>4230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4231</v>
      </c>
      <c r="B2278" s="168" t="s">
        <v>4231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4232</v>
      </c>
      <c r="B2279" s="168" t="s">
        <v>4232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4233</v>
      </c>
      <c r="B2280" s="168" t="s">
        <v>4233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4234</v>
      </c>
      <c r="B2281" s="168" t="s">
        <v>4234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4235</v>
      </c>
      <c r="B2282" s="168" t="s">
        <v>4235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4236</v>
      </c>
      <c r="B2283" s="168" t="s">
        <v>4236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4237</v>
      </c>
      <c r="B2284" s="168" t="s">
        <v>4237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4238</v>
      </c>
      <c r="B2285" s="168" t="s">
        <v>4238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4239</v>
      </c>
      <c r="B2286" s="168" t="s">
        <v>4239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4240</v>
      </c>
      <c r="B2287" s="168" t="s">
        <v>4240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4241</v>
      </c>
      <c r="B2288" s="168" t="s">
        <v>4241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4242</v>
      </c>
      <c r="B2289" s="168" t="s">
        <v>4242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4243</v>
      </c>
      <c r="B2290" s="168" t="s">
        <v>4243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4244</v>
      </c>
      <c r="B2291" s="168" t="s">
        <v>4244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4245</v>
      </c>
      <c r="B2292" s="168" t="s">
        <v>4245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4246</v>
      </c>
      <c r="B2293" s="168" t="s">
        <v>4246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4247</v>
      </c>
      <c r="B2294" s="168" t="s">
        <v>4247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4248</v>
      </c>
      <c r="B2295" s="168" t="s">
        <v>4248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4249</v>
      </c>
      <c r="B2296" s="168" t="s">
        <v>4249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4250</v>
      </c>
      <c r="B2297" s="168" t="s">
        <v>4250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4251</v>
      </c>
      <c r="B2298" s="168" t="s">
        <v>4251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4252</v>
      </c>
      <c r="B2299" s="168" t="s">
        <v>4252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4253</v>
      </c>
      <c r="B2300" s="168" t="s">
        <v>4253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4254</v>
      </c>
      <c r="B2301" s="168" t="s">
        <v>4254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4255</v>
      </c>
      <c r="B2302" s="168" t="s">
        <v>4255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4256</v>
      </c>
      <c r="B2303" s="168" t="s">
        <v>4256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4257</v>
      </c>
      <c r="B2304" s="168" t="s">
        <v>4257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4258</v>
      </c>
      <c r="B2305" s="168" t="s">
        <v>4258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4259</v>
      </c>
      <c r="B2306" s="168" t="s">
        <v>4259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4260</v>
      </c>
      <c r="B2307" s="168" t="s">
        <v>4260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4261</v>
      </c>
      <c r="B2308" s="168" t="s">
        <v>4261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4262</v>
      </c>
      <c r="B2309" s="168" t="s">
        <v>4262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4263</v>
      </c>
      <c r="B2310" s="168" t="s">
        <v>4263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4264</v>
      </c>
      <c r="B2311" s="168" t="s">
        <v>4264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4265</v>
      </c>
      <c r="B2312" s="168" t="s">
        <v>4265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4266</v>
      </c>
      <c r="B2313" s="168" t="s">
        <v>4266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4267</v>
      </c>
      <c r="B2314" s="168" t="s">
        <v>4267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4268</v>
      </c>
      <c r="B2315" s="168" t="s">
        <v>4268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4269</v>
      </c>
      <c r="B2316" s="168" t="s">
        <v>4269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4270</v>
      </c>
      <c r="B2317" s="168" t="s">
        <v>4270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4271</v>
      </c>
      <c r="B2318" s="168" t="s">
        <v>4271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4272</v>
      </c>
      <c r="B2319" s="168" t="s">
        <v>4272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4273</v>
      </c>
      <c r="B2320" s="168" t="s">
        <v>4273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4274</v>
      </c>
      <c r="B2321" s="168" t="s">
        <v>4274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4275</v>
      </c>
      <c r="B2322" s="168" t="s">
        <v>4275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4276</v>
      </c>
      <c r="B2323" s="168" t="s">
        <v>4276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4277</v>
      </c>
      <c r="B2324" s="168" t="s">
        <v>4277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4278</v>
      </c>
      <c r="B2325" s="168" t="s">
        <v>4278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4279</v>
      </c>
      <c r="B2326" s="168" t="s">
        <v>4279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4280</v>
      </c>
      <c r="B2327" s="168" t="s">
        <v>4280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4281</v>
      </c>
      <c r="B2328" s="168" t="s">
        <v>4281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4282</v>
      </c>
      <c r="B2329" s="168" t="s">
        <v>4282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4283</v>
      </c>
      <c r="B2330" s="168" t="s">
        <v>4283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4284</v>
      </c>
      <c r="B2331" s="168" t="s">
        <v>4284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4285</v>
      </c>
      <c r="B2332" s="168" t="s">
        <v>4285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4286</v>
      </c>
      <c r="B2333" s="168" t="s">
        <v>4286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4287</v>
      </c>
      <c r="B2334" s="168" t="s">
        <v>4287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4288</v>
      </c>
      <c r="B2335" s="168" t="s">
        <v>4288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4289</v>
      </c>
      <c r="B2336" s="168" t="s">
        <v>4289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4290</v>
      </c>
      <c r="B2337" s="168" t="s">
        <v>4290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4291</v>
      </c>
      <c r="B2338" s="168" t="s">
        <v>4291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4292</v>
      </c>
      <c r="B2339" s="168" t="s">
        <v>4292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4293</v>
      </c>
      <c r="B2340" s="168" t="s">
        <v>4293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4294</v>
      </c>
      <c r="B2341" s="168" t="s">
        <v>4294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4295</v>
      </c>
      <c r="B2342" s="168" t="s">
        <v>4295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4296</v>
      </c>
      <c r="B2343" s="168" t="s">
        <v>4296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4297</v>
      </c>
      <c r="B2344" s="168" t="s">
        <v>4297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4298</v>
      </c>
      <c r="B2345" s="168" t="s">
        <v>4298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4299</v>
      </c>
      <c r="B2346" s="168" t="s">
        <v>4299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4300</v>
      </c>
      <c r="B2347" s="168" t="s">
        <v>4300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4301</v>
      </c>
      <c r="B2348" s="168" t="s">
        <v>4301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4302</v>
      </c>
      <c r="B2349" s="168" t="s">
        <v>4302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4303</v>
      </c>
      <c r="B2350" s="168" t="s">
        <v>4303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4304</v>
      </c>
      <c r="B2351" s="168" t="s">
        <v>4304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4305</v>
      </c>
      <c r="B2352" s="168" t="s">
        <v>4305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4306</v>
      </c>
      <c r="B2353" s="168" t="s">
        <v>4306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4307</v>
      </c>
      <c r="B2354" s="168" t="s">
        <v>4307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4308</v>
      </c>
      <c r="B2355" s="168" t="s">
        <v>4308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4309</v>
      </c>
      <c r="B2356" s="168" t="s">
        <v>4309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4310</v>
      </c>
      <c r="B2357" s="168" t="s">
        <v>4310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4311</v>
      </c>
      <c r="B2358" s="168" t="s">
        <v>4311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4312</v>
      </c>
      <c r="B2359" s="168" t="s">
        <v>4312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4313</v>
      </c>
      <c r="B2360" s="168" t="s">
        <v>4313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4314</v>
      </c>
      <c r="B2361" s="168" t="s">
        <v>4314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4315</v>
      </c>
      <c r="B2362" s="168" t="s">
        <v>4315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4316</v>
      </c>
      <c r="B2363" s="168" t="s">
        <v>4316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4317</v>
      </c>
      <c r="B2364" s="168" t="s">
        <v>4317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4318</v>
      </c>
      <c r="B2365" s="168" t="s">
        <v>4318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4319</v>
      </c>
      <c r="B2366" s="168" t="s">
        <v>4319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4320</v>
      </c>
      <c r="B2367" s="168" t="s">
        <v>4320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4321</v>
      </c>
      <c r="B2368" s="168" t="s">
        <v>4321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4322</v>
      </c>
      <c r="B2369" s="168" t="s">
        <v>4322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4323</v>
      </c>
      <c r="B2370" s="168" t="s">
        <v>4323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4324</v>
      </c>
      <c r="B2371" s="168" t="s">
        <v>4324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4325</v>
      </c>
      <c r="B2372" s="168" t="s">
        <v>4325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4326</v>
      </c>
      <c r="B2373" s="168" t="s">
        <v>4326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4327</v>
      </c>
      <c r="B2374" s="168" t="s">
        <v>4327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4328</v>
      </c>
      <c r="B2375" s="168" t="s">
        <v>4328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4329</v>
      </c>
      <c r="B2376" s="168" t="s">
        <v>4329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4330</v>
      </c>
      <c r="B2377" s="168" t="s">
        <v>4330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4331</v>
      </c>
      <c r="B2378" s="168" t="s">
        <v>4331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4332</v>
      </c>
      <c r="B2379" s="168" t="s">
        <v>4332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4333</v>
      </c>
      <c r="B2380" s="168" t="s">
        <v>4333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4334</v>
      </c>
      <c r="B2381" s="168" t="s">
        <v>4334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4335</v>
      </c>
      <c r="B2382" s="168" t="s">
        <v>4335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4336</v>
      </c>
      <c r="B2383" s="168" t="s">
        <v>4336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4337</v>
      </c>
      <c r="B2384" s="168" t="s">
        <v>4337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4338</v>
      </c>
      <c r="B2385" s="168" t="s">
        <v>4338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4339</v>
      </c>
      <c r="B2386" s="168" t="s">
        <v>4339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4340</v>
      </c>
      <c r="B2387" s="168" t="s">
        <v>4340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4341</v>
      </c>
      <c r="B2388" s="168" t="s">
        <v>4341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4342</v>
      </c>
      <c r="B2389" s="168" t="s">
        <v>4342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4343</v>
      </c>
      <c r="B2390" s="168" t="s">
        <v>4343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4344</v>
      </c>
      <c r="B2391" s="168" t="s">
        <v>4344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4345</v>
      </c>
      <c r="B2392" s="168" t="s">
        <v>4345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4346</v>
      </c>
      <c r="B2393" s="168" t="s">
        <v>4346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4347</v>
      </c>
      <c r="B2394" s="168" t="s">
        <v>4347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4348</v>
      </c>
      <c r="B2395" s="168" t="s">
        <v>4348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4349</v>
      </c>
      <c r="B2396" s="168" t="s">
        <v>4349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4350</v>
      </c>
      <c r="B2397" s="168" t="s">
        <v>4350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4351</v>
      </c>
      <c r="B2398" s="168" t="s">
        <v>4351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4352</v>
      </c>
      <c r="B2399" s="168" t="s">
        <v>4352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4353</v>
      </c>
      <c r="B2400" s="168" t="s">
        <v>4353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4354</v>
      </c>
      <c r="B2401" s="168" t="s">
        <v>4354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4355</v>
      </c>
      <c r="B2402" s="168" t="s">
        <v>4355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4356</v>
      </c>
      <c r="B2403" s="168" t="s">
        <v>4356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4357</v>
      </c>
      <c r="B2404" s="168" t="s">
        <v>4357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4358</v>
      </c>
      <c r="B2405" s="168" t="s">
        <v>4358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4359</v>
      </c>
      <c r="B2406" s="168" t="s">
        <v>4359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4360</v>
      </c>
      <c r="B2407" s="168" t="s">
        <v>4360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4361</v>
      </c>
      <c r="B2408" s="168" t="s">
        <v>4361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4362</v>
      </c>
      <c r="B2409" s="168" t="s">
        <v>4362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4363</v>
      </c>
      <c r="B2410" s="168" t="s">
        <v>4363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4364</v>
      </c>
      <c r="B2411" s="168" t="s">
        <v>4364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4365</v>
      </c>
      <c r="B2412" s="168" t="s">
        <v>4365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4366</v>
      </c>
      <c r="B2413" s="168" t="s">
        <v>4366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4367</v>
      </c>
      <c r="B2414" s="168" t="s">
        <v>4367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4368</v>
      </c>
      <c r="B2415" s="168" t="s">
        <v>4368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4369</v>
      </c>
      <c r="B2416" s="168" t="s">
        <v>4369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4370</v>
      </c>
      <c r="B2417" s="168" t="s">
        <v>4370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4371</v>
      </c>
      <c r="B2418" s="168" t="s">
        <v>4371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4372</v>
      </c>
      <c r="B2419" s="168" t="s">
        <v>4372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4373</v>
      </c>
      <c r="B2420" s="168" t="s">
        <v>4373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4374</v>
      </c>
      <c r="B2421" s="168" t="s">
        <v>4374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4375</v>
      </c>
      <c r="B2422" s="168" t="s">
        <v>4375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4376</v>
      </c>
      <c r="B2423" s="168" t="s">
        <v>4376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4377</v>
      </c>
      <c r="B2424" s="168" t="s">
        <v>4377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4378</v>
      </c>
      <c r="B2425" s="168" t="s">
        <v>4378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4379</v>
      </c>
      <c r="B2426" s="168" t="s">
        <v>4379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4380</v>
      </c>
      <c r="B2427" s="168" t="s">
        <v>4380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4381</v>
      </c>
      <c r="B2428" s="168" t="s">
        <v>4381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5051</v>
      </c>
      <c r="B2429" s="169" t="s">
        <v>5051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5052</v>
      </c>
      <c r="B2430" s="169" t="s">
        <v>5052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5053</v>
      </c>
      <c r="B2431" s="169" t="s">
        <v>5053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5054</v>
      </c>
      <c r="B2432" s="169" t="s">
        <v>5054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5055</v>
      </c>
      <c r="B2433" s="169" t="s">
        <v>5055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5056</v>
      </c>
      <c r="B2434" s="169" t="s">
        <v>5056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5057</v>
      </c>
      <c r="B2435" s="169" t="s">
        <v>5057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5058</v>
      </c>
      <c r="B2436" s="169" t="s">
        <v>5058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5059</v>
      </c>
      <c r="B2437" s="169" t="s">
        <v>5059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5060</v>
      </c>
      <c r="B2438" s="169" t="s">
        <v>5060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5061</v>
      </c>
      <c r="B2439" s="169" t="s">
        <v>5061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5062</v>
      </c>
      <c r="B2440" s="169" t="s">
        <v>5062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5063</v>
      </c>
      <c r="B2441" s="169" t="s">
        <v>5063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5064</v>
      </c>
      <c r="B2442" s="169" t="s">
        <v>5064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5065</v>
      </c>
      <c r="B2443" s="169" t="s">
        <v>5065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4632</v>
      </c>
      <c r="B2444" s="169" t="s">
        <v>4632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5066</v>
      </c>
      <c r="B2445" s="169" t="s">
        <v>5066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5067</v>
      </c>
      <c r="B2446" s="169" t="s">
        <v>5067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5068</v>
      </c>
      <c r="B2447" s="169" t="s">
        <v>5068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5069</v>
      </c>
      <c r="B2448" s="169" t="s">
        <v>5069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4635</v>
      </c>
      <c r="B2449" s="169" t="s">
        <v>4635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5070</v>
      </c>
      <c r="B2450" s="169" t="s">
        <v>5070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5071</v>
      </c>
      <c r="B2451" s="169" t="s">
        <v>5071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5072</v>
      </c>
      <c r="B2452" s="169" t="s">
        <v>5072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5073</v>
      </c>
      <c r="B2453" s="169" t="s">
        <v>5073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5074</v>
      </c>
      <c r="B2454" s="169" t="s">
        <v>5074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5075</v>
      </c>
      <c r="B2455" s="169" t="s">
        <v>5075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5076</v>
      </c>
      <c r="B2456" s="169" t="s">
        <v>5076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5077</v>
      </c>
      <c r="B2457" s="169" t="s">
        <v>5077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5078</v>
      </c>
      <c r="B2458" s="169" t="s">
        <v>5078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5079</v>
      </c>
      <c r="B2459" s="169" t="s">
        <v>5079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4600</v>
      </c>
      <c r="B2460" s="169" t="s">
        <v>4600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5080</v>
      </c>
      <c r="B2461" s="169" t="s">
        <v>5080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5081</v>
      </c>
      <c r="B2462" s="169" t="s">
        <v>5081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5082</v>
      </c>
      <c r="B2463" s="169" t="s">
        <v>5082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5083</v>
      </c>
      <c r="B2464" s="169" t="s">
        <v>5083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5084</v>
      </c>
      <c r="B2465" s="169" t="s">
        <v>5084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5085</v>
      </c>
      <c r="B2466" s="169" t="s">
        <v>5085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5086</v>
      </c>
      <c r="B2467" s="169" t="s">
        <v>5086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5087</v>
      </c>
      <c r="B2468" s="169" t="s">
        <v>5087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5088</v>
      </c>
      <c r="B2469" s="169" t="s">
        <v>5088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5089</v>
      </c>
      <c r="B2470" s="170" t="s">
        <v>5089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5090</v>
      </c>
      <c r="B2471" s="170" t="s">
        <v>5090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5091</v>
      </c>
      <c r="B2472" s="170" t="s">
        <v>5091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5092</v>
      </c>
      <c r="B2473" s="170" t="s">
        <v>5092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5093</v>
      </c>
      <c r="B2474" s="170" t="s">
        <v>5093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5094</v>
      </c>
      <c r="B2475" s="170" t="s">
        <v>5094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5095</v>
      </c>
      <c r="B2476" s="170" t="s">
        <v>5095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5096</v>
      </c>
      <c r="B2477" s="170" t="s">
        <v>5096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5097</v>
      </c>
      <c r="B2478" s="170" t="s">
        <v>5097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5098</v>
      </c>
      <c r="B2479" s="170" t="s">
        <v>5098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4744</v>
      </c>
      <c r="B2480" s="170" t="s">
        <v>4744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5099</v>
      </c>
      <c r="B2481" s="170" t="s">
        <v>5099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5100</v>
      </c>
      <c r="B2482" s="170" t="s">
        <v>5100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5101</v>
      </c>
      <c r="B2483" s="170" t="s">
        <v>5101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5102</v>
      </c>
      <c r="B2484" s="170" t="s">
        <v>5102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5103</v>
      </c>
      <c r="B2485" s="170" t="s">
        <v>5103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5104</v>
      </c>
      <c r="B2486" s="170" t="s">
        <v>5104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5105</v>
      </c>
      <c r="B2487" s="170" t="s">
        <v>5105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5106</v>
      </c>
      <c r="B2488" s="170" t="s">
        <v>5106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4712</v>
      </c>
      <c r="B2489" s="170" t="s">
        <v>4712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4710</v>
      </c>
      <c r="B2490" s="170" t="s">
        <v>4710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5107</v>
      </c>
      <c r="B2491" s="170" t="s">
        <v>5107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5108</v>
      </c>
      <c r="B2492" s="170" t="s">
        <v>5108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5109</v>
      </c>
      <c r="B2493" s="170" t="s">
        <v>5109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5110</v>
      </c>
      <c r="B2494" s="170" t="s">
        <v>5110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5111</v>
      </c>
      <c r="B2495" s="170" t="s">
        <v>5111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5112</v>
      </c>
      <c r="B2496" s="170" t="s">
        <v>5112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5113</v>
      </c>
      <c r="B2497" s="170" t="s">
        <v>5113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5114</v>
      </c>
      <c r="B2498" s="170" t="s">
        <v>5114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5115</v>
      </c>
      <c r="B2499" s="170" t="s">
        <v>5115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5116</v>
      </c>
      <c r="B2500" s="170" t="s">
        <v>5116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5117</v>
      </c>
      <c r="B2501" s="170" t="s">
        <v>5117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5118</v>
      </c>
      <c r="B2502" s="170" t="s">
        <v>5118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5119</v>
      </c>
      <c r="B2503" s="170" t="s">
        <v>5119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5120</v>
      </c>
      <c r="B2504" s="170" t="s">
        <v>5120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5121</v>
      </c>
      <c r="B2505" s="170" t="s">
        <v>5121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5117</v>
      </c>
      <c r="B2506" s="170" t="s">
        <v>5117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5118</v>
      </c>
      <c r="B2507" s="170" t="s">
        <v>5118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5119</v>
      </c>
      <c r="B2508" s="170" t="s">
        <v>5119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5120</v>
      </c>
      <c r="B2509" s="170" t="s">
        <v>5120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5121</v>
      </c>
      <c r="B2510" s="170" t="s">
        <v>5121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5122</v>
      </c>
      <c r="B2511" s="170" t="s">
        <v>5122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5123</v>
      </c>
      <c r="B2512" s="170" t="s">
        <v>5123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5124</v>
      </c>
      <c r="B2513" s="170" t="s">
        <v>5124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5125</v>
      </c>
      <c r="B2514" s="170" t="s">
        <v>5125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5126</v>
      </c>
      <c r="B2515" s="170" t="s">
        <v>5126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5127</v>
      </c>
      <c r="B2516" s="170" t="s">
        <v>5127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5128</v>
      </c>
      <c r="B2517" s="170" t="s">
        <v>5128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5129</v>
      </c>
      <c r="B2518" s="170" t="s">
        <v>5129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5130</v>
      </c>
      <c r="B2519" s="170" t="s">
        <v>5130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4711</v>
      </c>
      <c r="B2520" s="170" t="s">
        <v>4711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5131</v>
      </c>
      <c r="B2521" s="170" t="s">
        <v>5131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5132</v>
      </c>
      <c r="B2522" s="170" t="s">
        <v>5132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5133</v>
      </c>
      <c r="B2523" s="170" t="s">
        <v>5133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5134</v>
      </c>
      <c r="B2524" s="170" t="s">
        <v>5134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5135</v>
      </c>
      <c r="B2525" s="170" t="s">
        <v>5135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5136</v>
      </c>
      <c r="B2526" s="170" t="s">
        <v>5136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5137</v>
      </c>
      <c r="B2527" s="170" t="s">
        <v>5137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5138</v>
      </c>
      <c r="B2528" s="170" t="s">
        <v>5138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5139</v>
      </c>
      <c r="B2529" s="170" t="s">
        <v>5139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5140</v>
      </c>
      <c r="B2530" s="170" t="s">
        <v>5140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5141</v>
      </c>
      <c r="B2531" s="170" t="s">
        <v>5141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5142</v>
      </c>
      <c r="B2532" s="170" t="s">
        <v>5142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5143</v>
      </c>
      <c r="B2533" s="170" t="s">
        <v>5143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5144</v>
      </c>
      <c r="B2534" s="170" t="s">
        <v>5144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5145</v>
      </c>
      <c r="B2535" s="170" t="s">
        <v>5145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5146</v>
      </c>
      <c r="B2536" s="170" t="s">
        <v>5146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5147</v>
      </c>
      <c r="B2537" s="170" t="s">
        <v>5147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5148</v>
      </c>
      <c r="B2538" s="170" t="s">
        <v>5148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5149</v>
      </c>
      <c r="B2539" s="170" t="s">
        <v>5149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5150</v>
      </c>
      <c r="B2540" s="170" t="s">
        <v>5150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5151</v>
      </c>
      <c r="B2541" s="170" t="s">
        <v>5151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5152</v>
      </c>
      <c r="B2542" s="170" t="s">
        <v>5152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5153</v>
      </c>
      <c r="B2543" s="170" t="s">
        <v>5153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5154</v>
      </c>
      <c r="B2544" s="170" t="s">
        <v>5154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5155</v>
      </c>
      <c r="B2545" s="170" t="s">
        <v>5155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5156</v>
      </c>
      <c r="B2546" s="170" t="s">
        <v>5156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5157</v>
      </c>
      <c r="B2547" s="170" t="s">
        <v>5157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5158</v>
      </c>
      <c r="B2548" s="170" t="s">
        <v>5158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5159</v>
      </c>
      <c r="B2549" s="170" t="s">
        <v>5159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5160</v>
      </c>
      <c r="B2550" s="170" t="s">
        <v>5160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5161</v>
      </c>
      <c r="B2551" s="170" t="s">
        <v>5161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5162</v>
      </c>
      <c r="B2552" s="170" t="s">
        <v>5162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5163</v>
      </c>
      <c r="B2553" s="170" t="s">
        <v>5163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5164</v>
      </c>
      <c r="B2554" s="170" t="s">
        <v>5164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5165</v>
      </c>
      <c r="B2555" s="170" t="s">
        <v>5165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5166</v>
      </c>
      <c r="B2556" s="170" t="s">
        <v>5166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5167</v>
      </c>
      <c r="B2557" s="170" t="s">
        <v>5167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5168</v>
      </c>
      <c r="B2558" s="170" t="s">
        <v>5168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5169</v>
      </c>
      <c r="B2559" s="170" t="s">
        <v>5169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5170</v>
      </c>
      <c r="B2560" s="170" t="s">
        <v>5170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5171</v>
      </c>
      <c r="B2561" s="170" t="s">
        <v>5171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5172</v>
      </c>
      <c r="B2562" s="170" t="s">
        <v>5172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5173</v>
      </c>
      <c r="B2563" s="170" t="s">
        <v>5173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5174</v>
      </c>
      <c r="B2564" s="170" t="s">
        <v>5174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5175</v>
      </c>
      <c r="B2565" s="170" t="s">
        <v>5175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5176</v>
      </c>
      <c r="B2566" s="170" t="s">
        <v>5176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5177</v>
      </c>
      <c r="B2567" s="170" t="s">
        <v>5177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5178</v>
      </c>
      <c r="B2568" s="170" t="s">
        <v>5178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5179</v>
      </c>
      <c r="B2569" s="170" t="s">
        <v>5179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5180</v>
      </c>
      <c r="B2570" s="170" t="s">
        <v>5180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5181</v>
      </c>
      <c r="B2571" s="170" t="s">
        <v>5181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5182</v>
      </c>
      <c r="B2572" s="170" t="s">
        <v>5182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5183</v>
      </c>
      <c r="B2573" s="170" t="s">
        <v>5183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5184</v>
      </c>
      <c r="B2574" s="170" t="s">
        <v>5184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5185</v>
      </c>
      <c r="B2575" s="170" t="s">
        <v>5185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5186</v>
      </c>
      <c r="B2576" s="170" t="s">
        <v>5186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5187</v>
      </c>
      <c r="B2577" s="170" t="s">
        <v>5187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5188</v>
      </c>
      <c r="B2578" s="170" t="s">
        <v>5188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5189</v>
      </c>
      <c r="B2579" s="170" t="s">
        <v>5189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5190</v>
      </c>
      <c r="B2580" s="170" t="s">
        <v>5190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5191</v>
      </c>
      <c r="B2581" s="170" t="s">
        <v>5191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5192</v>
      </c>
      <c r="B2582" s="170" t="s">
        <v>5192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5193</v>
      </c>
      <c r="B2583" s="171" t="s">
        <v>5193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5194</v>
      </c>
      <c r="B2584" s="173" t="s">
        <v>5194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5195</v>
      </c>
      <c r="B2585" s="173" t="s">
        <v>5195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5196</v>
      </c>
      <c r="B2586" s="171" t="s">
        <v>5196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5197</v>
      </c>
      <c r="B2587" s="173" t="s">
        <v>5197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5198</v>
      </c>
      <c r="B2588" s="173" t="s">
        <v>5198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5199</v>
      </c>
      <c r="B2589" s="173" t="s">
        <v>5199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5200</v>
      </c>
      <c r="B2590" s="171" t="s">
        <v>5200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5201</v>
      </c>
      <c r="B2591" s="173" t="s">
        <v>5201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5202</v>
      </c>
      <c r="B2592" s="173" t="s">
        <v>5202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5203</v>
      </c>
      <c r="B2593" s="173" t="s">
        <v>5203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5204</v>
      </c>
      <c r="B2594" s="173" t="s">
        <v>5204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5205</v>
      </c>
      <c r="B2595" s="173" t="s">
        <v>5205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5206</v>
      </c>
      <c r="B2596" s="171" t="s">
        <v>5206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5207</v>
      </c>
      <c r="B2597" s="173" t="s">
        <v>5207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5208</v>
      </c>
      <c r="B2598" s="173" t="s">
        <v>5208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5209</v>
      </c>
      <c r="B2599" s="173" t="s">
        <v>5209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5210</v>
      </c>
      <c r="B2600" s="173" t="s">
        <v>5210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5211</v>
      </c>
      <c r="B2601" s="173" t="s">
        <v>5211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5212</v>
      </c>
      <c r="B2602" s="171" t="s">
        <v>5212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5213</v>
      </c>
      <c r="B2603" s="173" t="s">
        <v>5213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5214</v>
      </c>
      <c r="B2604" s="173" t="s">
        <v>5214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5215</v>
      </c>
      <c r="B2605" s="173" t="s">
        <v>5215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5216</v>
      </c>
      <c r="B2606" s="173" t="s">
        <v>5216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5217</v>
      </c>
      <c r="B2607" s="173" t="s">
        <v>5217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5218</v>
      </c>
      <c r="B2608" s="173" t="s">
        <v>5218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5219</v>
      </c>
      <c r="B2609" s="173" t="s">
        <v>5219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5220</v>
      </c>
      <c r="B2610" s="173" t="s">
        <v>5220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5221</v>
      </c>
      <c r="B2611" s="171" t="s">
        <v>5221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5222</v>
      </c>
      <c r="B2612" s="173" t="s">
        <v>5222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5223</v>
      </c>
      <c r="B2613" s="173" t="s">
        <v>5223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5224</v>
      </c>
      <c r="B2614" s="173" t="s">
        <v>5224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5225</v>
      </c>
      <c r="B2615" s="173" t="s">
        <v>5225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5226</v>
      </c>
      <c r="B2616" s="173" t="s">
        <v>5226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5227</v>
      </c>
      <c r="B2617" s="173" t="s">
        <v>5227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5228</v>
      </c>
      <c r="B2618" s="173" t="s">
        <v>5228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5229</v>
      </c>
      <c r="B2619" s="173" t="s">
        <v>5229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5230</v>
      </c>
      <c r="B2620" s="173" t="s">
        <v>5230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5231</v>
      </c>
      <c r="B2621" s="173" t="s">
        <v>5231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5232</v>
      </c>
      <c r="B2622" s="171" t="s">
        <v>5232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5233</v>
      </c>
      <c r="B2623" s="173" t="s">
        <v>5233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5234</v>
      </c>
      <c r="B2624" s="173" t="s">
        <v>5234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5235</v>
      </c>
      <c r="B2625" s="173" t="s">
        <v>5235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5236</v>
      </c>
      <c r="B2626" s="173" t="s">
        <v>5236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5237</v>
      </c>
      <c r="B2627" s="173" t="s">
        <v>5237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5238</v>
      </c>
      <c r="B2628" s="173" t="s">
        <v>5238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5239</v>
      </c>
      <c r="B2629" s="173" t="s">
        <v>5239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5240</v>
      </c>
      <c r="B2630" s="173" t="s">
        <v>5240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5241</v>
      </c>
      <c r="B2631" s="173" t="s">
        <v>5241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5242</v>
      </c>
      <c r="B2632" s="171" t="s">
        <v>5242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5243</v>
      </c>
      <c r="B2633" s="173" t="s">
        <v>5243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5244</v>
      </c>
      <c r="B2634" s="173" t="s">
        <v>5244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5245</v>
      </c>
      <c r="B2635" s="173" t="s">
        <v>5245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5246</v>
      </c>
      <c r="B2636" s="173" t="s">
        <v>5246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5247</v>
      </c>
      <c r="B2637" s="173" t="s">
        <v>5247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5248</v>
      </c>
      <c r="B2638" s="173" t="s">
        <v>5248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5249</v>
      </c>
      <c r="B2639" s="173" t="s">
        <v>5249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5250</v>
      </c>
      <c r="B2640" s="173" t="s">
        <v>5250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5251</v>
      </c>
      <c r="B2641" s="173" t="s">
        <v>5251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5252</v>
      </c>
      <c r="B2642" s="171" t="s">
        <v>5252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5253</v>
      </c>
      <c r="B2643" s="173" t="s">
        <v>5253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5254</v>
      </c>
      <c r="B2644" s="173" t="s">
        <v>5254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5255</v>
      </c>
      <c r="B2645" s="173" t="s">
        <v>5255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5256</v>
      </c>
      <c r="B2646" s="173" t="s">
        <v>5256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5257</v>
      </c>
      <c r="B2647" s="173" t="s">
        <v>5257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5258</v>
      </c>
      <c r="B2648" s="173" t="s">
        <v>5258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5259</v>
      </c>
      <c r="B2649" s="173" t="s">
        <v>5259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5260</v>
      </c>
      <c r="B2650" s="173" t="s">
        <v>5260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5261</v>
      </c>
      <c r="B2651" s="171" t="s">
        <v>5261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5262</v>
      </c>
      <c r="B2652" s="173" t="s">
        <v>5262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5263</v>
      </c>
      <c r="B2653" s="173" t="s">
        <v>5263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5264</v>
      </c>
      <c r="B2654" s="173" t="s">
        <v>5264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5265</v>
      </c>
      <c r="B2655" s="173" t="s">
        <v>5265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5266</v>
      </c>
      <c r="B2656" s="173" t="s">
        <v>5266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5267</v>
      </c>
      <c r="B2657" s="173" t="s">
        <v>5267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5268</v>
      </c>
      <c r="B2658" s="173" t="s">
        <v>5268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5269</v>
      </c>
      <c r="B2659" s="173" t="s">
        <v>5269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5270</v>
      </c>
      <c r="B2660" s="171" t="s">
        <v>5270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5271</v>
      </c>
      <c r="B2661" s="173" t="s">
        <v>5271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5272</v>
      </c>
      <c r="B2662" s="173" t="s">
        <v>5272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5273</v>
      </c>
      <c r="B2663" s="173" t="s">
        <v>5273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5274</v>
      </c>
      <c r="B2664" s="173" t="s">
        <v>5274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5275</v>
      </c>
      <c r="B2665" s="173" t="s">
        <v>5275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5276</v>
      </c>
      <c r="B2666" s="173" t="s">
        <v>5276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5277</v>
      </c>
      <c r="B2667" s="173" t="s">
        <v>5277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5278</v>
      </c>
      <c r="B2668" s="173" t="s">
        <v>5278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5279</v>
      </c>
      <c r="B2669" s="171" t="s">
        <v>5279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5280</v>
      </c>
      <c r="B2670" s="173" t="s">
        <v>5280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5281</v>
      </c>
      <c r="B2671" s="173" t="s">
        <v>5281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5282</v>
      </c>
      <c r="B2672" s="173" t="s">
        <v>5282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5283</v>
      </c>
      <c r="B2673" s="173" t="s">
        <v>5283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5284</v>
      </c>
      <c r="B2674" s="173" t="s">
        <v>5284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5285</v>
      </c>
      <c r="B2675" s="173" t="s">
        <v>5285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5286</v>
      </c>
      <c r="B2676" s="173" t="s">
        <v>5286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5287</v>
      </c>
      <c r="B2677" s="171" t="s">
        <v>5287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5288</v>
      </c>
      <c r="B2678" s="173" t="s">
        <v>5288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5289</v>
      </c>
      <c r="B2679" s="173" t="s">
        <v>5289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5290</v>
      </c>
      <c r="B2680" s="173" t="s">
        <v>5290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5291</v>
      </c>
      <c r="B2681" s="173" t="s">
        <v>5291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5292</v>
      </c>
      <c r="B2682" s="173" t="s">
        <v>5292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5293</v>
      </c>
      <c r="B2683" s="173" t="s">
        <v>5293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5294</v>
      </c>
      <c r="B2684" s="173" t="s">
        <v>5294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5295</v>
      </c>
      <c r="B2685" s="173" t="s">
        <v>5295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5296</v>
      </c>
      <c r="B2686" s="173" t="s">
        <v>5296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5297</v>
      </c>
      <c r="B2687" s="171" t="s">
        <v>5297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5298</v>
      </c>
      <c r="B2688" s="173" t="s">
        <v>5298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5299</v>
      </c>
      <c r="B2689" s="173" t="s">
        <v>5299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5300</v>
      </c>
      <c r="B2690" s="173" t="s">
        <v>5300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5301</v>
      </c>
      <c r="B2691" s="173" t="s">
        <v>5301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5302</v>
      </c>
      <c r="B2692" s="173" t="s">
        <v>5302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5303</v>
      </c>
      <c r="B2693" s="173" t="s">
        <v>5303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5304</v>
      </c>
      <c r="B2694" s="173" t="s">
        <v>5304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5305</v>
      </c>
      <c r="B2695" s="173" t="s">
        <v>5305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5306</v>
      </c>
      <c r="B2696" s="173" t="s">
        <v>5306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5307</v>
      </c>
      <c r="B2697" s="173" t="s">
        <v>5307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5308</v>
      </c>
      <c r="B2698" s="171" t="s">
        <v>5308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5309</v>
      </c>
      <c r="B2699" s="173" t="s">
        <v>5309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5310</v>
      </c>
      <c r="B2700" s="173" t="s">
        <v>5310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5311</v>
      </c>
      <c r="B2701" s="173" t="s">
        <v>5311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5312</v>
      </c>
      <c r="B2702" s="173" t="s">
        <v>5312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5313</v>
      </c>
      <c r="B2703" s="173" t="s">
        <v>5313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5314</v>
      </c>
      <c r="B2704" s="173" t="s">
        <v>5314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5315</v>
      </c>
      <c r="B2705" s="173" t="s">
        <v>5315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5316</v>
      </c>
      <c r="B2706" s="173" t="s">
        <v>5316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5317</v>
      </c>
      <c r="B2707" s="173" t="s">
        <v>5317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5318</v>
      </c>
      <c r="B2708" s="171" t="s">
        <v>5318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5319</v>
      </c>
      <c r="B2709" s="173" t="s">
        <v>5319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5320</v>
      </c>
      <c r="B2710" s="173" t="s">
        <v>5320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5321</v>
      </c>
      <c r="B2711" s="173" t="s">
        <v>5321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5322</v>
      </c>
      <c r="B2712" s="173" t="s">
        <v>5322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5323</v>
      </c>
      <c r="B2713" s="173" t="s">
        <v>5323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5324</v>
      </c>
      <c r="B2714" s="173" t="s">
        <v>5324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5325</v>
      </c>
      <c r="B2715" s="173" t="s">
        <v>5325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5326</v>
      </c>
      <c r="B2716" s="173" t="s">
        <v>5326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5327</v>
      </c>
      <c r="B2717" s="173" t="s">
        <v>5327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5328</v>
      </c>
      <c r="B2718" s="171" t="s">
        <v>5328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5329</v>
      </c>
      <c r="B2719" s="173" t="s">
        <v>5329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5330</v>
      </c>
      <c r="B2720" s="173" t="s">
        <v>5330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5331</v>
      </c>
      <c r="B2721" s="173" t="s">
        <v>5331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5332</v>
      </c>
      <c r="B2722" s="173" t="s">
        <v>5332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5333</v>
      </c>
      <c r="B2723" s="173" t="s">
        <v>5333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5334</v>
      </c>
      <c r="B2724" s="173" t="s">
        <v>5334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5335</v>
      </c>
      <c r="B2725" s="173" t="s">
        <v>5335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5336</v>
      </c>
      <c r="B2726" s="173" t="s">
        <v>5336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5337</v>
      </c>
      <c r="B2727" s="173" t="s">
        <v>5337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5338</v>
      </c>
      <c r="B2728" s="171" t="s">
        <v>5338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5339</v>
      </c>
      <c r="B2729" s="173" t="s">
        <v>5339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5340</v>
      </c>
      <c r="B2730" s="173" t="s">
        <v>5340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5341</v>
      </c>
      <c r="B2731" s="173" t="s">
        <v>5341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5342</v>
      </c>
      <c r="B2732" s="173" t="s">
        <v>5342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5343</v>
      </c>
      <c r="B2733" s="173" t="s">
        <v>5343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5344</v>
      </c>
      <c r="B2734" s="173" t="s">
        <v>5344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5345</v>
      </c>
      <c r="B2735" s="173" t="s">
        <v>5345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5346</v>
      </c>
      <c r="B2736" s="171" t="s">
        <v>5346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5347</v>
      </c>
      <c r="B2737" s="173" t="s">
        <v>5347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5348</v>
      </c>
      <c r="B2738" s="173" t="s">
        <v>5348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5349</v>
      </c>
      <c r="B2739" s="173" t="s">
        <v>5349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5350</v>
      </c>
      <c r="B2740" s="173" t="s">
        <v>5350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5351</v>
      </c>
      <c r="B2741" s="171" t="s">
        <v>5351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5352</v>
      </c>
      <c r="B2742" s="173" t="s">
        <v>5352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5353</v>
      </c>
      <c r="B2743" s="173" t="s">
        <v>5353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5354</v>
      </c>
      <c r="B2744" s="173" t="s">
        <v>5354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5355</v>
      </c>
      <c r="B2745" s="173" t="s">
        <v>5355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5356</v>
      </c>
      <c r="B2746" s="171" t="s">
        <v>5356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5357</v>
      </c>
      <c r="B2747" s="173" t="s">
        <v>5357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5358</v>
      </c>
      <c r="B2748" s="173" t="s">
        <v>5358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5359</v>
      </c>
      <c r="B2749" s="173" t="s">
        <v>5359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5360</v>
      </c>
      <c r="B2750" s="173" t="s">
        <v>5360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5464</v>
      </c>
      <c r="B2751" s="184" t="s">
        <v>5464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5465</v>
      </c>
      <c r="B2752" s="184" t="s">
        <v>5465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5466</v>
      </c>
      <c r="B2753" s="184" t="s">
        <v>5466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5361</v>
      </c>
      <c r="B2754" s="184" t="s">
        <v>5361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5362</v>
      </c>
      <c r="B2755" s="172" t="s">
        <v>5362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5363</v>
      </c>
      <c r="B2756" s="172" t="s">
        <v>5363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5364</v>
      </c>
      <c r="B2757" s="172" t="s">
        <v>5364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5365</v>
      </c>
      <c r="B2758" s="172" t="s">
        <v>5365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5366</v>
      </c>
      <c r="B2759" s="172" t="s">
        <v>5366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5367</v>
      </c>
      <c r="B2760" s="172" t="s">
        <v>5367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5368</v>
      </c>
      <c r="B2761" s="184" t="s">
        <v>5368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5369</v>
      </c>
      <c r="B2762" s="172" t="s">
        <v>5369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5370</v>
      </c>
      <c r="B2763" s="172" t="s">
        <v>5370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5371</v>
      </c>
      <c r="B2764" s="172" t="s">
        <v>5371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5372</v>
      </c>
      <c r="B2765" s="172" t="s">
        <v>5372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5373</v>
      </c>
      <c r="B2766" s="172" t="s">
        <v>5373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5374</v>
      </c>
      <c r="B2767" s="172" t="s">
        <v>5374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5375</v>
      </c>
      <c r="B2768" s="172" t="s">
        <v>5375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5376</v>
      </c>
      <c r="B2769" s="172" t="s">
        <v>5376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5377</v>
      </c>
      <c r="B2770" s="172" t="s">
        <v>5377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5378</v>
      </c>
      <c r="B2771" s="172" t="s">
        <v>5378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5379</v>
      </c>
      <c r="B2772" s="172" t="s">
        <v>5379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5380</v>
      </c>
      <c r="B2773" s="172" t="s">
        <v>5380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5381</v>
      </c>
      <c r="B2774" s="172" t="s">
        <v>5381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5382</v>
      </c>
      <c r="B2775" s="172" t="s">
        <v>5382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5383</v>
      </c>
      <c r="B2776" s="172" t="s">
        <v>5383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5384</v>
      </c>
      <c r="B2777" s="172" t="s">
        <v>5384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5385</v>
      </c>
      <c r="B2778" s="172" t="s">
        <v>5385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5386</v>
      </c>
      <c r="B2779" s="172" t="s">
        <v>5386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5387</v>
      </c>
      <c r="B2780" s="172" t="s">
        <v>5387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5388</v>
      </c>
      <c r="B2781" s="172" t="s">
        <v>5388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5389</v>
      </c>
      <c r="B2782" s="184" t="s">
        <v>5389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5390</v>
      </c>
      <c r="B2783" s="172" t="s">
        <v>5390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5391</v>
      </c>
      <c r="B2784" s="172" t="s">
        <v>5391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5392</v>
      </c>
      <c r="B2785" s="172" t="s">
        <v>5392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5393</v>
      </c>
      <c r="B2786" s="172" t="s">
        <v>5393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5394</v>
      </c>
      <c r="B2787" s="172" t="s">
        <v>5394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5395</v>
      </c>
      <c r="B2788" s="172" t="s">
        <v>5395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5396</v>
      </c>
      <c r="B2789" s="172" t="s">
        <v>5396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5397</v>
      </c>
      <c r="B2790" s="172" t="s">
        <v>5397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5398</v>
      </c>
      <c r="B2791" s="184" t="s">
        <v>5398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5399</v>
      </c>
      <c r="B2792" s="172" t="s">
        <v>5399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5400</v>
      </c>
      <c r="B2793" s="172" t="s">
        <v>5400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5401</v>
      </c>
      <c r="B2794" s="172" t="s">
        <v>5401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5402</v>
      </c>
      <c r="B2795" s="172" t="s">
        <v>5402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5403</v>
      </c>
      <c r="B2796" s="172" t="s">
        <v>5403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5404</v>
      </c>
      <c r="B2797" s="172" t="s">
        <v>5404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5405</v>
      </c>
      <c r="B2798" s="172" t="s">
        <v>5405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5406</v>
      </c>
      <c r="B2799" s="172" t="s">
        <v>5406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5407</v>
      </c>
      <c r="B2800" s="172" t="s">
        <v>5407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5408</v>
      </c>
      <c r="B2801" s="172" t="s">
        <v>5408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5409</v>
      </c>
      <c r="B2802" s="172" t="s">
        <v>5409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5410</v>
      </c>
      <c r="B2803" s="172" t="s">
        <v>5410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5411</v>
      </c>
      <c r="B2804" s="172" t="s">
        <v>5411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5412</v>
      </c>
      <c r="B2805" s="184" t="s">
        <v>5412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5413</v>
      </c>
      <c r="B2806" s="172" t="s">
        <v>5413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5414</v>
      </c>
      <c r="B2807" s="172" t="s">
        <v>5414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5415</v>
      </c>
      <c r="B2808" s="172" t="s">
        <v>5415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5416</v>
      </c>
      <c r="B2809" s="172" t="s">
        <v>5416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5417</v>
      </c>
      <c r="B2810" s="172" t="s">
        <v>5417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5418</v>
      </c>
      <c r="B2811" s="172" t="s">
        <v>5418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5419</v>
      </c>
      <c r="B2812" s="172" t="s">
        <v>5419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5420</v>
      </c>
      <c r="B2813" s="172" t="s">
        <v>5420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5421</v>
      </c>
      <c r="B2814" s="172" t="s">
        <v>5421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5422</v>
      </c>
      <c r="B2815" s="172" t="s">
        <v>5422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5423</v>
      </c>
      <c r="B2816" s="172" t="s">
        <v>5423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5424</v>
      </c>
      <c r="B2817" s="172" t="s">
        <v>5424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5425</v>
      </c>
      <c r="B2818" s="172" t="s">
        <v>5425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5426</v>
      </c>
      <c r="B2819" s="172" t="s">
        <v>5426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5427</v>
      </c>
      <c r="B2820" s="184" t="s">
        <v>5427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5428</v>
      </c>
      <c r="B2821" s="172" t="s">
        <v>5428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5429</v>
      </c>
      <c r="B2822" s="172" t="s">
        <v>5429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5430</v>
      </c>
      <c r="B2823" s="172" t="s">
        <v>5430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5431</v>
      </c>
      <c r="B2824" s="172" t="s">
        <v>5431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5432</v>
      </c>
      <c r="B2825" s="172" t="s">
        <v>5432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5433</v>
      </c>
      <c r="B2826" s="172" t="s">
        <v>5433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5434</v>
      </c>
      <c r="B2827" s="172" t="s">
        <v>5434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5435</v>
      </c>
      <c r="B2828" s="172" t="s">
        <v>5435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5436</v>
      </c>
      <c r="B2829" s="172" t="s">
        <v>5436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5437</v>
      </c>
      <c r="B2830" s="172" t="s">
        <v>5437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5438</v>
      </c>
      <c r="B2831" s="172" t="s">
        <v>5438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5439</v>
      </c>
      <c r="B2832" s="172" t="s">
        <v>5439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5440</v>
      </c>
      <c r="B2833" s="172" t="s">
        <v>5440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5440</v>
      </c>
      <c r="B2834" s="172" t="s">
        <v>5440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5441</v>
      </c>
      <c r="B2835" s="172" t="s">
        <v>5441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5442</v>
      </c>
      <c r="B2836" s="172" t="s">
        <v>5442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5443</v>
      </c>
      <c r="B2837" s="172" t="s">
        <v>5443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5444</v>
      </c>
      <c r="B2838" s="172" t="s">
        <v>5444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5445</v>
      </c>
      <c r="B2839" s="172" t="s">
        <v>5445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5446</v>
      </c>
      <c r="B2840" s="172" t="s">
        <v>5446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5447</v>
      </c>
      <c r="B2841" s="172" t="s">
        <v>5447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5448</v>
      </c>
      <c r="B2842" s="172" t="s">
        <v>5448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5449</v>
      </c>
      <c r="B2843" s="172" t="s">
        <v>5449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4818</v>
      </c>
      <c r="B2844" s="172" t="s">
        <v>4818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5450</v>
      </c>
      <c r="B2845" s="172" t="s">
        <v>5450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5451</v>
      </c>
      <c r="B2846" s="172" t="s">
        <v>5451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5452</v>
      </c>
      <c r="B2847" s="172" t="s">
        <v>5452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5453</v>
      </c>
      <c r="B2848" s="184" t="s">
        <v>5453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5467</v>
      </c>
      <c r="B2849" s="184" t="s">
        <v>5467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5470</v>
      </c>
      <c r="B2850" s="184" t="s">
        <v>5470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5471</v>
      </c>
      <c r="B2851" s="184" t="s">
        <v>5471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5472</v>
      </c>
      <c r="B2852" s="184" t="s">
        <v>5472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5468</v>
      </c>
      <c r="B2853" s="184" t="s">
        <v>5468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5473</v>
      </c>
      <c r="B2854" s="184" t="s">
        <v>5473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5469</v>
      </c>
      <c r="B2855" s="184" t="s">
        <v>5469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5469</v>
      </c>
      <c r="B2856" s="184" t="s">
        <v>5469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5474</v>
      </c>
      <c r="B2857" s="184" t="s">
        <v>5474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5475</v>
      </c>
      <c r="B2858" s="184" t="s">
        <v>5475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5476</v>
      </c>
      <c r="B2859" s="184" t="s">
        <v>5476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5477</v>
      </c>
      <c r="B2860" s="184" t="s">
        <v>5477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5478</v>
      </c>
      <c r="B2861" s="184" t="s">
        <v>5478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5479</v>
      </c>
      <c r="B2862" s="184" t="s">
        <v>5479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5480</v>
      </c>
      <c r="B2863" s="184" t="s">
        <v>5480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5481</v>
      </c>
      <c r="B2864" s="184" t="s">
        <v>5481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5482</v>
      </c>
      <c r="B2865" s="184" t="s">
        <v>5482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5483</v>
      </c>
      <c r="B2866" s="184" t="s">
        <v>5483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5484</v>
      </c>
      <c r="B2867" s="184" t="s">
        <v>5484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5485</v>
      </c>
      <c r="B2868" s="184" t="s">
        <v>5485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5486</v>
      </c>
      <c r="B2869" s="184" t="s">
        <v>5486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5489</v>
      </c>
      <c r="B2870" s="184" t="s">
        <v>5489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4728</v>
      </c>
      <c r="B2871" s="184" t="s">
        <v>4728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5490</v>
      </c>
      <c r="B2872" s="184" t="s">
        <v>5490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4646</v>
      </c>
      <c r="B2873" s="184" t="s">
        <v>4646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5491</v>
      </c>
      <c r="B2874" s="184" t="s">
        <v>5491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5487</v>
      </c>
      <c r="B2875" s="184" t="s">
        <v>5487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5488</v>
      </c>
      <c r="B2876" s="184" t="s">
        <v>5488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4729</v>
      </c>
      <c r="B2877" s="184" t="s">
        <v>4729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5492</v>
      </c>
      <c r="B2878" s="184" t="s">
        <v>5492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5493</v>
      </c>
      <c r="B2879" s="184" t="s">
        <v>5493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5494</v>
      </c>
      <c r="B2880" s="184" t="s">
        <v>5494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5497</v>
      </c>
      <c r="B2881" s="184" t="s">
        <v>5497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5495</v>
      </c>
      <c r="B2882" s="184" t="s">
        <v>5495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5496</v>
      </c>
      <c r="B2883" s="184" t="s">
        <v>5496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5498</v>
      </c>
      <c r="B2884" s="184" t="s">
        <v>5498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5499</v>
      </c>
      <c r="B2885" s="184" t="s">
        <v>5499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5500</v>
      </c>
      <c r="B2886" s="184" t="s">
        <v>5500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5501</v>
      </c>
      <c r="B2887" s="184" t="s">
        <v>5501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5505</v>
      </c>
      <c r="B2888" s="184" t="s">
        <v>5505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5506</v>
      </c>
      <c r="B2889" s="184" t="s">
        <v>5506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5507</v>
      </c>
      <c r="B2890" s="184" t="s">
        <v>5507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5502</v>
      </c>
      <c r="B2891" s="184" t="s">
        <v>5502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5508</v>
      </c>
      <c r="B2892" s="184" t="s">
        <v>5508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5503</v>
      </c>
      <c r="B2893" s="184" t="s">
        <v>5503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5504</v>
      </c>
      <c r="B2894" s="184" t="s">
        <v>5504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5509</v>
      </c>
      <c r="B2895" s="184" t="s">
        <v>5509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5510</v>
      </c>
      <c r="B2896" s="184" t="s">
        <v>5510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5463</v>
      </c>
      <c r="B2897" s="184" t="s">
        <v>5463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5512</v>
      </c>
      <c r="B2898" s="184" t="s">
        <v>5512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5511</v>
      </c>
      <c r="B2899" s="184" t="s">
        <v>5511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5515</v>
      </c>
      <c r="B2900" s="184" t="s">
        <v>5515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5513</v>
      </c>
      <c r="B2901" s="184" t="s">
        <v>5513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5514</v>
      </c>
      <c r="B2902" s="184" t="s">
        <v>5514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5516</v>
      </c>
      <c r="B2903" s="184" t="s">
        <v>5516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5517</v>
      </c>
      <c r="B2904" s="184" t="s">
        <v>5517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5518</v>
      </c>
      <c r="B2905" s="184" t="s">
        <v>5518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5519</v>
      </c>
      <c r="B2906" s="184" t="s">
        <v>5519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5520</v>
      </c>
      <c r="B2907" s="184" t="s">
        <v>5520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5521</v>
      </c>
      <c r="B2908" s="184" t="s">
        <v>5521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5522</v>
      </c>
      <c r="B2909" s="184" t="s">
        <v>5522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4647</v>
      </c>
      <c r="B2910" s="184" t="s">
        <v>4647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5523</v>
      </c>
      <c r="B2911" s="184" t="s">
        <v>5523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5524</v>
      </c>
      <c r="B2912" s="184" t="s">
        <v>5524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5525</v>
      </c>
      <c r="B2913" s="184" t="s">
        <v>5525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5526</v>
      </c>
      <c r="B2914" s="184" t="s">
        <v>5526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5527</v>
      </c>
      <c r="B2915" s="184" t="s">
        <v>5527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5530</v>
      </c>
      <c r="B2916" s="184" t="s">
        <v>5530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5528</v>
      </c>
      <c r="B2917" s="184" t="s">
        <v>5528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5529</v>
      </c>
      <c r="B2918" s="184" t="s">
        <v>5529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5531</v>
      </c>
      <c r="B2919" s="184" t="s">
        <v>5531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5532</v>
      </c>
      <c r="B2920" s="184" t="s">
        <v>5532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5533</v>
      </c>
      <c r="B2921" s="184" t="s">
        <v>5533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5454</v>
      </c>
      <c r="B2922" s="184" t="s">
        <v>5454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5455</v>
      </c>
      <c r="B2923" s="172" t="s">
        <v>5455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5456</v>
      </c>
      <c r="B2924" s="172" t="s">
        <v>5456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5457</v>
      </c>
      <c r="B2925" s="172" t="s">
        <v>5457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5458</v>
      </c>
      <c r="B2926" s="172" t="s">
        <v>5458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5459</v>
      </c>
      <c r="B2927" s="172" t="s">
        <v>5459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5460</v>
      </c>
      <c r="B2928" s="172" t="s">
        <v>5460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5719</v>
      </c>
      <c r="B2929" s="185" t="s">
        <v>5559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5720</v>
      </c>
      <c r="B2930" s="185" t="s">
        <v>5560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5721</v>
      </c>
      <c r="B2931" s="185" t="s">
        <v>5561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5722</v>
      </c>
      <c r="B2932" s="185" t="s">
        <v>5562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5723</v>
      </c>
      <c r="B2933" s="185" t="s">
        <v>5563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5724</v>
      </c>
      <c r="B2934" s="185" t="s">
        <v>5564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5725</v>
      </c>
      <c r="B2935" s="185" t="s">
        <v>5565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5726</v>
      </c>
      <c r="B2936" s="185" t="s">
        <v>5566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5727</v>
      </c>
      <c r="B2937" s="185" t="s">
        <v>5567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5728</v>
      </c>
      <c r="B2938" s="185" t="s">
        <v>5568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5729</v>
      </c>
      <c r="B2939" s="185" t="s">
        <v>5569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5730</v>
      </c>
      <c r="B2940" s="185" t="s">
        <v>5570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5731</v>
      </c>
      <c r="B2941" s="185" t="s">
        <v>5571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5732</v>
      </c>
      <c r="B2942" s="185" t="s">
        <v>5572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5733</v>
      </c>
      <c r="B2943" s="185" t="s">
        <v>5573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5734</v>
      </c>
      <c r="B2944" s="185" t="s">
        <v>5574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5735</v>
      </c>
      <c r="B2945" s="185" t="s">
        <v>5575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5736</v>
      </c>
      <c r="B2946" s="185" t="s">
        <v>5576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5737</v>
      </c>
      <c r="B2947" s="185" t="s">
        <v>5577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5738</v>
      </c>
      <c r="B2948" s="185" t="s">
        <v>5578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5739</v>
      </c>
      <c r="B2949" s="185" t="s">
        <v>5579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5740</v>
      </c>
      <c r="B2950" s="185" t="s">
        <v>5558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5741</v>
      </c>
      <c r="B2951" s="185" t="s">
        <v>5580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5742</v>
      </c>
      <c r="B2952" s="185" t="s">
        <v>5581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5743</v>
      </c>
      <c r="B2953" s="185" t="s">
        <v>5582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5744</v>
      </c>
      <c r="B2954" s="185" t="s">
        <v>5583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5745</v>
      </c>
      <c r="B2955" s="185" t="s">
        <v>5584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5746</v>
      </c>
      <c r="B2956" s="185" t="s">
        <v>5585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5747</v>
      </c>
      <c r="B2957" s="185" t="s">
        <v>5586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5748</v>
      </c>
      <c r="B2958" s="185" t="s">
        <v>5587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5749</v>
      </c>
      <c r="B2959" s="185" t="s">
        <v>5588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5750</v>
      </c>
      <c r="B2960" s="185" t="s">
        <v>5589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5751</v>
      </c>
      <c r="B2961" s="185" t="s">
        <v>5590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5752</v>
      </c>
      <c r="B2962" s="185" t="s">
        <v>5591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5753</v>
      </c>
      <c r="B2963" s="185" t="s">
        <v>5592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5754</v>
      </c>
      <c r="B2964" s="185" t="s">
        <v>5593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5755</v>
      </c>
      <c r="B2965" s="185" t="s">
        <v>5594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5756</v>
      </c>
      <c r="B2966" s="185" t="s">
        <v>5595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5757</v>
      </c>
      <c r="B2967" s="185" t="s">
        <v>5596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5758</v>
      </c>
      <c r="B2968" s="185" t="s">
        <v>5597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5759</v>
      </c>
      <c r="B2969" s="185" t="s">
        <v>5598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5760</v>
      </c>
      <c r="B2970" s="185" t="s">
        <v>5599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5761</v>
      </c>
      <c r="B2971" s="185" t="s">
        <v>5600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5762</v>
      </c>
      <c r="B2972" s="185" t="s">
        <v>5601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5763</v>
      </c>
      <c r="B2973" s="185" t="s">
        <v>5602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5764</v>
      </c>
      <c r="B2974" s="185" t="s">
        <v>5603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5765</v>
      </c>
      <c r="B2975" s="185" t="s">
        <v>5604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5766</v>
      </c>
      <c r="B2976" s="185" t="s">
        <v>5605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5767</v>
      </c>
      <c r="B2977" s="185" t="s">
        <v>5606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5768</v>
      </c>
      <c r="B2978" s="185" t="s">
        <v>5607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5769</v>
      </c>
      <c r="B2979" s="185" t="s">
        <v>5608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5770</v>
      </c>
      <c r="B2980" s="185" t="s">
        <v>5609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5771</v>
      </c>
      <c r="B2981" s="185" t="s">
        <v>5610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5772</v>
      </c>
      <c r="B2982" s="185" t="s">
        <v>5611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5773</v>
      </c>
      <c r="B2983" s="185" t="s">
        <v>5612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5774</v>
      </c>
      <c r="B2984" s="185" t="s">
        <v>5613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5775</v>
      </c>
      <c r="B2985" s="185" t="s">
        <v>5614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5776</v>
      </c>
      <c r="B2986" s="185" t="s">
        <v>5615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5777</v>
      </c>
      <c r="B2987" s="185" t="s">
        <v>5616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5778</v>
      </c>
      <c r="B2988" s="185" t="s">
        <v>5617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5779</v>
      </c>
      <c r="B2989" s="185" t="s">
        <v>5618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5780</v>
      </c>
      <c r="B2990" s="185" t="s">
        <v>5619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5781</v>
      </c>
      <c r="B2991" s="185" t="s">
        <v>5620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5782</v>
      </c>
      <c r="B2992" s="185" t="s">
        <v>5621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5783</v>
      </c>
      <c r="B2993" s="185" t="s">
        <v>5622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5784</v>
      </c>
      <c r="B2994" s="185" t="s">
        <v>5623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5785</v>
      </c>
      <c r="B2995" s="185" t="s">
        <v>5624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5786</v>
      </c>
      <c r="B2996" s="185" t="s">
        <v>5625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5787</v>
      </c>
      <c r="B2997" s="185" t="s">
        <v>5626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5788</v>
      </c>
      <c r="B2998" s="185" t="s">
        <v>5627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5789</v>
      </c>
      <c r="B2999" s="185" t="s">
        <v>5628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5790</v>
      </c>
      <c r="B3000" s="185" t="s">
        <v>5629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2021-03-24T13:45:56Z</dcterms:modified>
</cp:coreProperties>
</file>